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99\دفترفنی چی\"/>
    </mc:Choice>
  </mc:AlternateContent>
  <bookViews>
    <workbookView xWindow="0" yWindow="0" windowWidth="23040" windowHeight="9192" tabRatio="870" activeTab="12"/>
  </bookViews>
  <sheets>
    <sheet name="اطلاعات" sheetId="36" r:id="rId1"/>
    <sheet name="جلد " sheetId="32" r:id="rId2"/>
    <sheet name=" خلاصه مالي " sheetId="50" r:id="rId3"/>
    <sheet name=" خلاصه مالي فهارس " sheetId="35" r:id="rId4"/>
    <sheet name="مالي ابنیه" sheetId="52" r:id="rId5"/>
    <sheet name="فصول ابنیه" sheetId="53" r:id="rId6"/>
    <sheet name="خلاصه متره " sheetId="55" r:id="rId7"/>
    <sheet name="ريزمتره ابینه" sheetId="54" r:id="rId8"/>
    <sheet name="ابنیه 95" sheetId="60" r:id="rId9"/>
    <sheet name="مالي مکانیکی" sheetId="61" r:id="rId10"/>
    <sheet name="فصول مکانیکی" sheetId="62" r:id="rId11"/>
    <sheet name="خلاصه مکانیکی" sheetId="65" r:id="rId12"/>
    <sheet name="ریزمتره مکانیکی" sheetId="64" r:id="rId13"/>
    <sheet name="مکانیکی 95" sheetId="66" r:id="rId14"/>
  </sheets>
  <externalReferences>
    <externalReference r:id="rId15"/>
  </externalReferences>
  <definedNames>
    <definedName name="___A16400" localSheetId="11">#REF!</definedName>
    <definedName name="___A16400" localSheetId="12">#REF!</definedName>
    <definedName name="___A16400" localSheetId="10">#REF!</definedName>
    <definedName name="___A16400" localSheetId="9">#REF!</definedName>
    <definedName name="___A16400">#REF!</definedName>
    <definedName name="___A16438" localSheetId="11">#REF!</definedName>
    <definedName name="___A16438" localSheetId="12">#REF!</definedName>
    <definedName name="___A16438" localSheetId="10">#REF!</definedName>
    <definedName name="___A16438" localSheetId="9">#REF!</definedName>
    <definedName name="___A16438">#REF!</definedName>
    <definedName name="___A16500" localSheetId="11">#REF!</definedName>
    <definedName name="___A16500" localSheetId="12">#REF!</definedName>
    <definedName name="___A16500" localSheetId="10">#REF!</definedName>
    <definedName name="___A16500" localSheetId="9">#REF!</definedName>
    <definedName name="___A16500">#REF!</definedName>
    <definedName name="___A16634" localSheetId="11">#REF!</definedName>
    <definedName name="___A16634" localSheetId="12">#REF!</definedName>
    <definedName name="___A16634" localSheetId="10">#REF!</definedName>
    <definedName name="___A16634" localSheetId="9">#REF!</definedName>
    <definedName name="___A16634">#REF!</definedName>
    <definedName name="___A17000" localSheetId="11">#REF!</definedName>
    <definedName name="___A17000" localSheetId="12">#REF!</definedName>
    <definedName name="___A17000" localSheetId="10">#REF!</definedName>
    <definedName name="___A17000" localSheetId="9">#REF!</definedName>
    <definedName name="___A17000">#REF!</definedName>
    <definedName name="___WS1" localSheetId="11">#REF!</definedName>
    <definedName name="___WS1" localSheetId="12">#REF!</definedName>
    <definedName name="___WS1" localSheetId="10">#REF!</definedName>
    <definedName name="___WS1" localSheetId="9">#REF!</definedName>
    <definedName name="___WS1">#REF!</definedName>
    <definedName name="_A16400" localSheetId="11">#REF!</definedName>
    <definedName name="_A16400" localSheetId="12">#REF!</definedName>
    <definedName name="_A16400" localSheetId="10">#REF!</definedName>
    <definedName name="_A16400" localSheetId="9">#REF!</definedName>
    <definedName name="_A16400">#REF!</definedName>
    <definedName name="_A16438" localSheetId="11">#REF!</definedName>
    <definedName name="_A16438" localSheetId="12">#REF!</definedName>
    <definedName name="_A16438" localSheetId="10">#REF!</definedName>
    <definedName name="_A16438" localSheetId="9">#REF!</definedName>
    <definedName name="_A16438">#REF!</definedName>
    <definedName name="_A16500" localSheetId="11">#REF!</definedName>
    <definedName name="_A16500" localSheetId="12">#REF!</definedName>
    <definedName name="_A16500" localSheetId="10">#REF!</definedName>
    <definedName name="_A16500" localSheetId="9">#REF!</definedName>
    <definedName name="_A16500">#REF!</definedName>
    <definedName name="_A16634" localSheetId="11">#REF!</definedName>
    <definedName name="_A16634" localSheetId="12">#REF!</definedName>
    <definedName name="_A16634" localSheetId="10">#REF!</definedName>
    <definedName name="_A16634" localSheetId="9">#REF!</definedName>
    <definedName name="_A16634">#REF!</definedName>
    <definedName name="_A17000" localSheetId="11">#REF!</definedName>
    <definedName name="_A17000" localSheetId="12">#REF!</definedName>
    <definedName name="_A17000" localSheetId="10">#REF!</definedName>
    <definedName name="_A17000" localSheetId="9">#REF!</definedName>
    <definedName name="_A17000">#REF!</definedName>
    <definedName name="_Fill" localSheetId="11" hidden="1">#REF!</definedName>
    <definedName name="_Fill" localSheetId="12" hidden="1">#REF!</definedName>
    <definedName name="_Fill" localSheetId="10" hidden="1">#REF!</definedName>
    <definedName name="_Fill" localSheetId="9" hidden="1">#REF!</definedName>
    <definedName name="_Fill" hidden="1">#REF!</definedName>
    <definedName name="_xlnm._FilterDatabase" localSheetId="6" hidden="1">'خلاصه متره '!$A$6:$F$52</definedName>
    <definedName name="_xlnm._FilterDatabase" localSheetId="11" hidden="1">'خلاصه مکانیکی'!$A$6:$F$8</definedName>
    <definedName name="_xlnm._FilterDatabase" localSheetId="12" hidden="1">#REF!</definedName>
    <definedName name="_xlnm._FilterDatabase" localSheetId="10" hidden="1">#REF!</definedName>
    <definedName name="_xlnm._FilterDatabase" localSheetId="9" hidden="1">#REF!</definedName>
    <definedName name="_xlnm._FilterDatabase" hidden="1">#REF!</definedName>
    <definedName name="_Key1" localSheetId="11" hidden="1">#REF!</definedName>
    <definedName name="_Key1" localSheetId="12" hidden="1">#REF!</definedName>
    <definedName name="_Key1" localSheetId="10" hidden="1">#REF!</definedName>
    <definedName name="_Key1" localSheetId="9" hidden="1">#REF!</definedName>
    <definedName name="_Key1" hidden="1">#REF!</definedName>
    <definedName name="_Order1" hidden="1">255</definedName>
    <definedName name="_Sort" localSheetId="11" hidden="1">#REF!</definedName>
    <definedName name="_Sort" localSheetId="12" hidden="1">#REF!</definedName>
    <definedName name="_Sort" localSheetId="10" hidden="1">#REF!</definedName>
    <definedName name="_Sort" localSheetId="9" hidden="1">#REF!</definedName>
    <definedName name="_Sort" hidden="1">#REF!</definedName>
    <definedName name="_VV13" localSheetId="11">#REF!</definedName>
    <definedName name="_VV13" localSheetId="12">#REF!</definedName>
    <definedName name="_VV13" localSheetId="10">#REF!</definedName>
    <definedName name="_VV13" localSheetId="9">#REF!</definedName>
    <definedName name="_VV13">#REF!</definedName>
    <definedName name="_WS1" localSheetId="11">#REF!</definedName>
    <definedName name="_WS1" localSheetId="12">#REF!</definedName>
    <definedName name="_WS1" localSheetId="10">#REF!</definedName>
    <definedName name="_WS1" localSheetId="9">#REF!</definedName>
    <definedName name="_WS1">#REF!</definedName>
    <definedName name="_xlnm.Print_Area" localSheetId="2">' خلاصه مالي '!$A$1:$O$24</definedName>
    <definedName name="_xlnm.Print_Area" localSheetId="3">' خلاصه مالي فهارس '!$A$1:$M$15</definedName>
    <definedName name="_xlnm.Print_Area" localSheetId="1">'جلد '!$A$1:$L$22</definedName>
    <definedName name="_xlnm.Print_Area" localSheetId="6">'خلاصه متره '!$A$1:$F$170</definedName>
    <definedName name="_xlnm.Print_Area" localSheetId="11">'خلاصه مکانیکی'!$A$1:$F$30</definedName>
    <definedName name="_xlnm.Print_Area" localSheetId="7">'ريزمتره ابینه'!$A$1:$I$1674</definedName>
    <definedName name="_xlnm.Print_Area" localSheetId="12">'ریزمتره مکانیکی'!$A$1:$I$59</definedName>
    <definedName name="_xlnm.Print_Area" localSheetId="10">'فصول مکانیکی'!$A$1:$H$28</definedName>
    <definedName name="_xlnm.Print_Area" localSheetId="4">'مالي ابنیه'!$A$1:$O$37</definedName>
    <definedName name="_xlnm.Print_Area" localSheetId="9">'مالي مکانیکی'!$A$1:$L$20</definedName>
    <definedName name="_xlnm.Print_Titles" localSheetId="6">'خلاصه متره '!$1:$6</definedName>
    <definedName name="_xlnm.Print_Titles" localSheetId="11">'خلاصه مکانیکی'!$1:$6</definedName>
    <definedName name="_xlnm.Print_Titles" localSheetId="7">'ريزمتره ابینه'!$1:$7</definedName>
    <definedName name="_xlnm.Print_Titles" localSheetId="12">'ریزمتره مکانیکی'!$1:$7</definedName>
    <definedName name="_xlnm.Print_Titles" localSheetId="5">'فصول ابنیه'!$1:$7</definedName>
    <definedName name="_xlnm.Print_Titles" localSheetId="10">'فصول مکانیکی'!$1:$8</definedName>
    <definedName name="_xlnm.Print_Titles" localSheetId="4">'مالي ابنیه'!$1:$5</definedName>
    <definedName name="_xlnm.Print_Titles" localSheetId="9">'مالي مکانیکی'!$1:$5</definedName>
    <definedName name="Z_587C20B2_57EE_41AA_BE29_2EACC08183D3_.wvu.PrintArea" localSheetId="1" hidden="1">'جلد '!$B$2:$K$21</definedName>
    <definedName name="Z_5F979833_83B6_471E_868C_7104B08B174F_.wvu.PrintArea" localSheetId="2" hidden="1">' خلاصه مالي '!$A$1:$O$24</definedName>
    <definedName name="Z_5F979833_83B6_471E_868C_7104B08B174F_.wvu.PrintArea" localSheetId="3" hidden="1">' خلاصه مالي فهارس '!$A$1:$M$15</definedName>
    <definedName name="Z_5F979833_83B6_471E_868C_7104B08B174F_.wvu.PrintArea" localSheetId="1" hidden="1">'جلد '!$B$2:$K$21</definedName>
    <definedName name="Z_5F979833_83B6_471E_868C_7104B08B174F_.wvu.PrintArea" localSheetId="5" hidden="1">'فصول ابنیه'!$A$1:$H$23</definedName>
    <definedName name="Z_5F979833_83B6_471E_868C_7104B08B174F_.wvu.PrintArea" localSheetId="10" hidden="1">'فصول مکانیکی'!$A$1:$H$15</definedName>
    <definedName name="Z_5F979833_83B6_471E_868C_7104B08B174F_.wvu.PrintArea" localSheetId="4" hidden="1">'مالي ابنیه'!$A$1:$L$37</definedName>
    <definedName name="Z_5F979833_83B6_471E_868C_7104B08B174F_.wvu.PrintArea" localSheetId="9" hidden="1">'مالي مکانیکی'!$A$1:$L$20</definedName>
    <definedName name="Z_5F979833_83B6_471E_868C_7104B08B174F_.wvu.PrintTitles" localSheetId="5" hidden="1">'فصول ابنیه'!$1:$7</definedName>
    <definedName name="Z_5F979833_83B6_471E_868C_7104B08B174F_.wvu.PrintTitles" localSheetId="10" hidden="1">'فصول مکانیکی'!$1:$8</definedName>
    <definedName name="Z_5F979833_83B6_471E_868C_7104B08B174F_.wvu.Rows" localSheetId="5" hidden="1">'فصول ابنیه'!#REF!,'فصول ابنیه'!#REF!</definedName>
    <definedName name="Z_5F979833_83B6_471E_868C_7104B08B174F_.wvu.Rows" localSheetId="10" hidden="1">'فصول مکانیکی'!#REF!,'فصول مکانیکی'!#REF!</definedName>
    <definedName name="Z_5F979833_83B6_471E_868C_7104B08B174F_.wvu.Rows" localSheetId="4" hidden="1">'مالي ابنیه'!$6:$6</definedName>
    <definedName name="Z_5F979833_83B6_471E_868C_7104B08B174F_.wvu.Rows" localSheetId="9" hidden="1">'مالي مکانیکی'!$6:$6</definedName>
    <definedName name="Z_D6866F7C_9638_4F56_8532_60B673271891_.wvu.FilterData" localSheetId="6" hidden="1">'خلاصه متره '!$A$6:$F$52</definedName>
    <definedName name="Z_D6866F7C_9638_4F56_8532_60B673271891_.wvu.FilterData" localSheetId="11" hidden="1">'خلاصه مکانیکی'!$A$6:$F$8</definedName>
    <definedName name="Z_D6866F7C_9638_4F56_8532_60B673271891_.wvu.PrintArea" localSheetId="6" hidden="1">'خلاصه متره '!$A$1:$F$52</definedName>
    <definedName name="Z_D6866F7C_9638_4F56_8532_60B673271891_.wvu.PrintArea" localSheetId="11" hidden="1">'خلاصه مکانیکی'!$A$1:$F$8</definedName>
    <definedName name="ن45" localSheetId="11">#REF!</definedName>
    <definedName name="ن45" localSheetId="12">#REF!</definedName>
    <definedName name="ن45" localSheetId="10">#REF!</definedName>
    <definedName name="ن45" localSheetId="9">#REF!</definedName>
    <definedName name="ن45">#REF!</definedName>
  </definedNames>
  <calcPr calcId="162913"/>
  <customWorkbookViews>
    <customWorkbookView name="00000" guid="{5F979833-83B6-471E-868C-7104B08B174F}" maximized="1" xWindow="1" yWindow="1" windowWidth="1360" windowHeight="538" tabRatio="871" activeSheetId="44"/>
  </customWorkbookViews>
</workbook>
</file>

<file path=xl/calcChain.xml><?xml version="1.0" encoding="utf-8"?>
<calcChain xmlns="http://schemas.openxmlformats.org/spreadsheetml/2006/main">
  <c r="A5" i="50" l="1"/>
  <c r="A14" i="53" l="1"/>
  <c r="G10" i="53"/>
  <c r="J8" i="52"/>
  <c r="A28" i="53" l="1"/>
  <c r="C28" i="53" s="1"/>
  <c r="A37" i="55"/>
  <c r="F37" i="55" s="1"/>
  <c r="E37" i="55" s="1"/>
  <c r="G136" i="54"/>
  <c r="G138" i="54" s="1"/>
  <c r="H138" i="54"/>
  <c r="F138" i="54"/>
  <c r="I138" i="54" s="1"/>
  <c r="B135" i="54"/>
  <c r="E14" i="62"/>
  <c r="A14" i="62"/>
  <c r="C14" i="62" s="1"/>
  <c r="A15" i="65"/>
  <c r="F15" i="65" s="1"/>
  <c r="E15" i="65" s="1"/>
  <c r="G28" i="64"/>
  <c r="F28" i="64"/>
  <c r="I28" i="64" s="1"/>
  <c r="B25" i="64"/>
  <c r="E28" i="53" l="1"/>
  <c r="D28" i="53"/>
  <c r="H28" i="53" s="1"/>
  <c r="B28" i="53"/>
  <c r="D14" i="62"/>
  <c r="H14" i="62" s="1"/>
  <c r="B14" i="62"/>
  <c r="A83" i="55"/>
  <c r="B936" i="54"/>
  <c r="I916" i="54"/>
  <c r="I936" i="54" s="1"/>
  <c r="B916" i="54"/>
  <c r="H918" i="54"/>
  <c r="F918" i="54"/>
  <c r="I918" i="54" s="1"/>
  <c r="G916" i="54"/>
  <c r="G918" i="54" s="1"/>
  <c r="B915" i="54"/>
  <c r="A79" i="55"/>
  <c r="G908" i="54"/>
  <c r="G910" i="54" s="1"/>
  <c r="H910" i="54"/>
  <c r="F910" i="54"/>
  <c r="I910" i="54" s="1"/>
  <c r="B907" i="54"/>
  <c r="A23" i="62"/>
  <c r="A27" i="65"/>
  <c r="G28" i="53" l="1"/>
  <c r="A59" i="53"/>
  <c r="C59" i="53" s="1"/>
  <c r="G936" i="54"/>
  <c r="G14" i="62"/>
  <c r="A24" i="62"/>
  <c r="B24" i="62" s="1"/>
  <c r="B59" i="53"/>
  <c r="A57" i="53"/>
  <c r="C57" i="53" s="1"/>
  <c r="D59" i="53" l="1"/>
  <c r="H59" i="53" s="1"/>
  <c r="D24" i="62"/>
  <c r="H24" i="62" s="1"/>
  <c r="H25" i="62" s="1"/>
  <c r="C24" i="62"/>
  <c r="D57" i="53"/>
  <c r="H57" i="53" s="1"/>
  <c r="B57" i="53"/>
  <c r="G54" i="64" l="1"/>
  <c r="F54" i="64"/>
  <c r="I54" i="64" s="1"/>
  <c r="B51" i="64"/>
  <c r="A131" i="55"/>
  <c r="I1487" i="54"/>
  <c r="I1489" i="54"/>
  <c r="I1491" i="54"/>
  <c r="I1493" i="54"/>
  <c r="I1495" i="54"/>
  <c r="I1497" i="54"/>
  <c r="I1499" i="54"/>
  <c r="I1485" i="54"/>
  <c r="G1487" i="54"/>
  <c r="G1489" i="54"/>
  <c r="G1491" i="54"/>
  <c r="G1493" i="54"/>
  <c r="G1495" i="54"/>
  <c r="G1497" i="54"/>
  <c r="G1499" i="54"/>
  <c r="G1485" i="54"/>
  <c r="B1487" i="54"/>
  <c r="B1489" i="54"/>
  <c r="B1491" i="54"/>
  <c r="B1493" i="54"/>
  <c r="B1495" i="54"/>
  <c r="B1497" i="54"/>
  <c r="B1499" i="54"/>
  <c r="B1485" i="54"/>
  <c r="F1501" i="54"/>
  <c r="I1501" i="54" s="1"/>
  <c r="B1484" i="54"/>
  <c r="A86" i="53"/>
  <c r="A119" i="55"/>
  <c r="G1351" i="54"/>
  <c r="F1351" i="54"/>
  <c r="I1351" i="54" s="1"/>
  <c r="B1334" i="54"/>
  <c r="B98" i="53"/>
  <c r="H98" i="53"/>
  <c r="F133" i="55"/>
  <c r="E133" i="55" s="1"/>
  <c r="A133" i="55"/>
  <c r="B1505" i="54"/>
  <c r="B1507" i="54"/>
  <c r="B1509" i="54"/>
  <c r="B1511" i="54"/>
  <c r="B1513" i="54"/>
  <c r="B1515" i="54"/>
  <c r="B1517" i="54"/>
  <c r="B1503" i="54"/>
  <c r="G1519" i="54"/>
  <c r="F1519" i="54"/>
  <c r="A95" i="53"/>
  <c r="A129" i="55"/>
  <c r="G1483" i="54"/>
  <c r="F1483" i="54"/>
  <c r="I1483" i="54" s="1"/>
  <c r="B1466" i="54"/>
  <c r="G1416" i="54"/>
  <c r="G1414" i="54"/>
  <c r="I1388" i="54"/>
  <c r="I1426" i="54" s="1"/>
  <c r="G1388" i="54"/>
  <c r="G1426" i="54" s="1"/>
  <c r="B1388" i="54"/>
  <c r="B1426" i="54" s="1"/>
  <c r="I1386" i="54"/>
  <c r="I1424" i="54" s="1"/>
  <c r="G1386" i="54"/>
  <c r="G1424" i="54" s="1"/>
  <c r="B1386" i="54"/>
  <c r="B1424" i="54" s="1"/>
  <c r="B1376" i="54"/>
  <c r="B1414" i="54" s="1"/>
  <c r="G1291" i="54"/>
  <c r="B1277" i="54"/>
  <c r="B1279" i="54"/>
  <c r="B1378" i="54" s="1"/>
  <c r="B1416" i="54" s="1"/>
  <c r="G806" i="54"/>
  <c r="B21" i="62"/>
  <c r="A16" i="62"/>
  <c r="A25" i="65"/>
  <c r="A21" i="62" s="1"/>
  <c r="A23" i="65"/>
  <c r="A21" i="65"/>
  <c r="A19" i="65"/>
  <c r="A17" i="65"/>
  <c r="F49" i="64"/>
  <c r="I49" i="64" s="1"/>
  <c r="G45" i="64"/>
  <c r="F45" i="64"/>
  <c r="I45" i="64" s="1"/>
  <c r="B42" i="64"/>
  <c r="G41" i="64"/>
  <c r="F41" i="64"/>
  <c r="I41" i="64" s="1"/>
  <c r="B38" i="64"/>
  <c r="G37" i="64"/>
  <c r="F37" i="64"/>
  <c r="I37" i="64" s="1"/>
  <c r="B34" i="64"/>
  <c r="G33" i="64"/>
  <c r="F33" i="64"/>
  <c r="I33" i="64" s="1"/>
  <c r="B30" i="64"/>
  <c r="G1501" i="54" l="1"/>
  <c r="G47" i="64"/>
  <c r="G49" i="64" s="1"/>
  <c r="F25" i="65" s="1"/>
  <c r="E25" i="65" s="1"/>
  <c r="A20" i="62"/>
  <c r="D20" i="62" s="1"/>
  <c r="H20" i="62" s="1"/>
  <c r="A97" i="53"/>
  <c r="B97" i="53" s="1"/>
  <c r="E21" i="62"/>
  <c r="A19" i="62"/>
  <c r="D19" i="62" s="1"/>
  <c r="H19" i="62" s="1"/>
  <c r="A17" i="62"/>
  <c r="A18" i="62"/>
  <c r="D18" i="62" s="1"/>
  <c r="H18" i="62" s="1"/>
  <c r="A87" i="53"/>
  <c r="C87" i="53" s="1"/>
  <c r="E98" i="53"/>
  <c r="G98" i="53" s="1"/>
  <c r="A96" i="53"/>
  <c r="H21" i="62"/>
  <c r="C19" i="62"/>
  <c r="C20" i="62" l="1"/>
  <c r="B20" i="62"/>
  <c r="D97" i="53"/>
  <c r="C97" i="53"/>
  <c r="B19" i="62"/>
  <c r="C18" i="62"/>
  <c r="B18" i="62"/>
  <c r="B17" i="62"/>
  <c r="D17" i="62"/>
  <c r="C17" i="62"/>
  <c r="B87" i="53"/>
  <c r="D87" i="53"/>
  <c r="D96" i="53"/>
  <c r="C96" i="53"/>
  <c r="B96" i="53"/>
  <c r="G21" i="62"/>
  <c r="H97" i="53" l="1"/>
  <c r="H17" i="62"/>
  <c r="H22" i="62" s="1"/>
  <c r="H87" i="53"/>
  <c r="H88" i="53" s="1"/>
  <c r="H96" i="53"/>
  <c r="H99" i="53" s="1"/>
  <c r="G16" i="54" l="1"/>
  <c r="B9" i="53"/>
  <c r="H9" i="53"/>
  <c r="A7" i="55"/>
  <c r="A9" i="53" s="1"/>
  <c r="H12" i="54"/>
  <c r="F12" i="54"/>
  <c r="G12" i="54"/>
  <c r="F7" i="55" l="1"/>
  <c r="E7" i="55" l="1"/>
  <c r="E9" i="53"/>
  <c r="G9" i="53" s="1"/>
  <c r="A93" i="55" l="1"/>
  <c r="A66" i="53" s="1"/>
  <c r="G1019" i="54"/>
  <c r="F1019" i="54"/>
  <c r="I1019" i="54" s="1"/>
  <c r="B1016" i="54"/>
  <c r="G1143" i="54"/>
  <c r="F1145" i="54"/>
  <c r="B69" i="53"/>
  <c r="A99" i="55"/>
  <c r="A69" i="53" s="1"/>
  <c r="G1139" i="54"/>
  <c r="G1141" i="54"/>
  <c r="G1137" i="54"/>
  <c r="G1145" i="54" s="1"/>
  <c r="F99" i="55" s="1"/>
  <c r="E69" i="53" s="1"/>
  <c r="B13" i="62"/>
  <c r="A13" i="65"/>
  <c r="G24" i="64"/>
  <c r="F24" i="64"/>
  <c r="I24" i="64" s="1"/>
  <c r="A11" i="65"/>
  <c r="A12" i="62" s="1"/>
  <c r="G20" i="64"/>
  <c r="F20" i="64"/>
  <c r="I20" i="64" s="1"/>
  <c r="B17" i="64"/>
  <c r="A26" i="62"/>
  <c r="A29" i="65"/>
  <c r="A27" i="62" s="1"/>
  <c r="G57" i="64"/>
  <c r="G59" i="64" s="1"/>
  <c r="F59" i="64"/>
  <c r="I59" i="64" s="1"/>
  <c r="B56" i="64"/>
  <c r="A153" i="55"/>
  <c r="H1650" i="54"/>
  <c r="G1650" i="54"/>
  <c r="F1650" i="54"/>
  <c r="I1650" i="54" s="1"/>
  <c r="A13" i="62" l="1"/>
  <c r="H13" i="62" s="1"/>
  <c r="D66" i="53"/>
  <c r="H66" i="53" s="1"/>
  <c r="C66" i="53"/>
  <c r="B66" i="53"/>
  <c r="H69" i="53"/>
  <c r="E99" i="55"/>
  <c r="A116" i="53"/>
  <c r="C116" i="53" s="1"/>
  <c r="D27" i="62"/>
  <c r="H27" i="62" s="1"/>
  <c r="H28" i="62" s="1"/>
  <c r="C27" i="62"/>
  <c r="C12" i="62"/>
  <c r="D12" i="62"/>
  <c r="H12" i="62" s="1"/>
  <c r="B12" i="62"/>
  <c r="B27" i="62"/>
  <c r="C13" i="62" l="1"/>
  <c r="D116" i="53"/>
  <c r="H116" i="53" s="1"/>
  <c r="G69" i="53"/>
  <c r="B116" i="53"/>
  <c r="G1412" i="54" l="1"/>
  <c r="G1410" i="54"/>
  <c r="G1408" i="54"/>
  <c r="G1406" i="54"/>
  <c r="G1404" i="54"/>
  <c r="G1402" i="54"/>
  <c r="G1400" i="54"/>
  <c r="G1398" i="54"/>
  <c r="G1396" i="54"/>
  <c r="G1394" i="54"/>
  <c r="G1392" i="54"/>
  <c r="G1382" i="54"/>
  <c r="G1420" i="54" s="1"/>
  <c r="G1384" i="54"/>
  <c r="G1422" i="54" s="1"/>
  <c r="G1380" i="54"/>
  <c r="I1384" i="54"/>
  <c r="I1422" i="54" s="1"/>
  <c r="I1382" i="54"/>
  <c r="I1420" i="54" s="1"/>
  <c r="I1380" i="54"/>
  <c r="I1418" i="54" s="1"/>
  <c r="B1380" i="54"/>
  <c r="B1418" i="54" s="1"/>
  <c r="B1382" i="54"/>
  <c r="B1420" i="54" s="1"/>
  <c r="B1384" i="54"/>
  <c r="B1422" i="54" s="1"/>
  <c r="I1275" i="54"/>
  <c r="I1374" i="54" s="1"/>
  <c r="I1412" i="54" s="1"/>
  <c r="I1273" i="54"/>
  <c r="I1372" i="54" s="1"/>
  <c r="I1410" i="54" s="1"/>
  <c r="I1271" i="54"/>
  <c r="I1370" i="54" s="1"/>
  <c r="I1408" i="54" s="1"/>
  <c r="B1273" i="54"/>
  <c r="B1372" i="54" s="1"/>
  <c r="B1410" i="54" s="1"/>
  <c r="B1275" i="54"/>
  <c r="B1374" i="54" s="1"/>
  <c r="B1412" i="54" s="1"/>
  <c r="B1271" i="54"/>
  <c r="B1370" i="54" s="1"/>
  <c r="B1408" i="54" s="1"/>
  <c r="G1418" i="54" l="1"/>
  <c r="G1390" i="54"/>
  <c r="G1428" i="54"/>
  <c r="G601" i="54" l="1"/>
  <c r="G1212" i="54"/>
  <c r="G1210" i="54"/>
  <c r="G1208" i="54"/>
  <c r="G1206" i="54"/>
  <c r="G1204" i="54"/>
  <c r="G1202" i="54"/>
  <c r="G1200" i="54"/>
  <c r="G1198" i="54"/>
  <c r="G617" i="54"/>
  <c r="G619" i="54"/>
  <c r="G621" i="54"/>
  <c r="G623" i="54"/>
  <c r="G625" i="54"/>
  <c r="G627" i="54"/>
  <c r="G629" i="54"/>
  <c r="G300" i="54"/>
  <c r="I298" i="54"/>
  <c r="I385" i="54" s="1"/>
  <c r="I483" i="54" s="1"/>
  <c r="I647" i="54" s="1"/>
  <c r="I713" i="54" s="1"/>
  <c r="I747" i="54" s="1"/>
  <c r="I296" i="54"/>
  <c r="I383" i="54" s="1"/>
  <c r="I481" i="54" s="1"/>
  <c r="I645" i="54" s="1"/>
  <c r="I711" i="54" s="1"/>
  <c r="I745" i="54" s="1"/>
  <c r="I294" i="54"/>
  <c r="I381" i="54" s="1"/>
  <c r="I479" i="54" s="1"/>
  <c r="I643" i="54" s="1"/>
  <c r="I709" i="54" s="1"/>
  <c r="I743" i="54" s="1"/>
  <c r="I292" i="54"/>
  <c r="I379" i="54" s="1"/>
  <c r="I477" i="54" s="1"/>
  <c r="I641" i="54" s="1"/>
  <c r="I707" i="54" s="1"/>
  <c r="I741" i="54" s="1"/>
  <c r="I290" i="54"/>
  <c r="I377" i="54" s="1"/>
  <c r="I475" i="54" s="1"/>
  <c r="I639" i="54" s="1"/>
  <c r="I705" i="54" s="1"/>
  <c r="I739" i="54" s="1"/>
  <c r="I288" i="54"/>
  <c r="I375" i="54" s="1"/>
  <c r="I473" i="54" s="1"/>
  <c r="I637" i="54" s="1"/>
  <c r="I703" i="54" s="1"/>
  <c r="I737" i="54" s="1"/>
  <c r="I286" i="54"/>
  <c r="I373" i="54" s="1"/>
  <c r="I471" i="54" s="1"/>
  <c r="I635" i="54" s="1"/>
  <c r="I701" i="54" s="1"/>
  <c r="I735" i="54" s="1"/>
  <c r="I284" i="54"/>
  <c r="I371" i="54" s="1"/>
  <c r="I469" i="54" s="1"/>
  <c r="I633" i="54" s="1"/>
  <c r="I699" i="54" s="1"/>
  <c r="I733" i="54" s="1"/>
  <c r="B286" i="54"/>
  <c r="B373" i="54" s="1"/>
  <c r="B471" i="54" s="1"/>
  <c r="B635" i="54" s="1"/>
  <c r="B701" i="54" s="1"/>
  <c r="B735" i="54" s="1"/>
  <c r="B288" i="54"/>
  <c r="B375" i="54" s="1"/>
  <c r="B473" i="54" s="1"/>
  <c r="B637" i="54" s="1"/>
  <c r="B703" i="54" s="1"/>
  <c r="B737" i="54" s="1"/>
  <c r="B290" i="54"/>
  <c r="B377" i="54" s="1"/>
  <c r="B475" i="54" s="1"/>
  <c r="B639" i="54" s="1"/>
  <c r="B705" i="54" s="1"/>
  <c r="B739" i="54" s="1"/>
  <c r="B292" i="54"/>
  <c r="B379" i="54" s="1"/>
  <c r="B477" i="54" s="1"/>
  <c r="B641" i="54" s="1"/>
  <c r="B707" i="54" s="1"/>
  <c r="B741" i="54" s="1"/>
  <c r="B294" i="54"/>
  <c r="B381" i="54" s="1"/>
  <c r="B479" i="54" s="1"/>
  <c r="B643" i="54" s="1"/>
  <c r="B709" i="54" s="1"/>
  <c r="B743" i="54" s="1"/>
  <c r="B296" i="54"/>
  <c r="B383" i="54" s="1"/>
  <c r="B481" i="54" s="1"/>
  <c r="B645" i="54" s="1"/>
  <c r="B711" i="54" s="1"/>
  <c r="B745" i="54" s="1"/>
  <c r="B298" i="54"/>
  <c r="B385" i="54" s="1"/>
  <c r="B483" i="54" s="1"/>
  <c r="B647" i="54" s="1"/>
  <c r="B713" i="54" s="1"/>
  <c r="B747" i="54" s="1"/>
  <c r="B284" i="54"/>
  <c r="B371" i="54" s="1"/>
  <c r="B469" i="54" s="1"/>
  <c r="B633" i="54" s="1"/>
  <c r="B699" i="54" s="1"/>
  <c r="B733" i="54" s="1"/>
  <c r="A41" i="55"/>
  <c r="G173" i="54"/>
  <c r="H173" i="54"/>
  <c r="F173" i="54"/>
  <c r="I173" i="54" s="1"/>
  <c r="B156" i="54"/>
  <c r="B894" i="54" l="1"/>
  <c r="B1123" i="54" s="1"/>
  <c r="B1168" i="54" s="1"/>
  <c r="B1202" i="54" s="1"/>
  <c r="B1566" i="54" s="1"/>
  <c r="I894" i="54"/>
  <c r="I1123" i="54" s="1"/>
  <c r="I1168" i="54" s="1"/>
  <c r="I1202" i="54" s="1"/>
  <c r="I1566" i="54" s="1"/>
  <c r="B902" i="54"/>
  <c r="B1131" i="54" s="1"/>
  <c r="B1176" i="54" s="1"/>
  <c r="B1210" i="54" s="1"/>
  <c r="B1574" i="54" s="1"/>
  <c r="I902" i="54"/>
  <c r="I1131" i="54" s="1"/>
  <c r="I1176" i="54" s="1"/>
  <c r="I1210" i="54" s="1"/>
  <c r="I1574" i="54" s="1"/>
  <c r="I890" i="54"/>
  <c r="I1119" i="54" s="1"/>
  <c r="I1164" i="54" s="1"/>
  <c r="I1198" i="54" s="1"/>
  <c r="I1562" i="54" s="1"/>
  <c r="I898" i="54"/>
  <c r="I1127" i="54" s="1"/>
  <c r="I1172" i="54" s="1"/>
  <c r="I1206" i="54" s="1"/>
  <c r="I1570" i="54" s="1"/>
  <c r="B890" i="54"/>
  <c r="B1119" i="54" s="1"/>
  <c r="B1164" i="54" s="1"/>
  <c r="B1198" i="54" s="1"/>
  <c r="B1562" i="54" s="1"/>
  <c r="B898" i="54"/>
  <c r="B1127" i="54" s="1"/>
  <c r="B1172" i="54" s="1"/>
  <c r="B1206" i="54" s="1"/>
  <c r="B1570" i="54" s="1"/>
  <c r="B892" i="54"/>
  <c r="B1121" i="54" s="1"/>
  <c r="B1166" i="54" s="1"/>
  <c r="B1200" i="54" s="1"/>
  <c r="B1564" i="54" s="1"/>
  <c r="B896" i="54"/>
  <c r="B1125" i="54" s="1"/>
  <c r="B1170" i="54" s="1"/>
  <c r="B1204" i="54" s="1"/>
  <c r="B1568" i="54" s="1"/>
  <c r="B900" i="54"/>
  <c r="B1129" i="54" s="1"/>
  <c r="B1174" i="54" s="1"/>
  <c r="B1208" i="54" s="1"/>
  <c r="B1572" i="54" s="1"/>
  <c r="B904" i="54"/>
  <c r="B1133" i="54" s="1"/>
  <c r="B1178" i="54" s="1"/>
  <c r="B1212" i="54" s="1"/>
  <c r="B1576" i="54" s="1"/>
  <c r="I892" i="54"/>
  <c r="I1121" i="54" s="1"/>
  <c r="I1166" i="54" s="1"/>
  <c r="I1200" i="54" s="1"/>
  <c r="I1564" i="54" s="1"/>
  <c r="I896" i="54"/>
  <c r="I1125" i="54" s="1"/>
  <c r="I1170" i="54" s="1"/>
  <c r="I1204" i="54" s="1"/>
  <c r="I1568" i="54" s="1"/>
  <c r="I900" i="54"/>
  <c r="I1129" i="54" s="1"/>
  <c r="I1174" i="54" s="1"/>
  <c r="I1208" i="54" s="1"/>
  <c r="I1572" i="54" s="1"/>
  <c r="I904" i="54"/>
  <c r="I1133" i="54" s="1"/>
  <c r="I1178" i="54" s="1"/>
  <c r="I1212" i="54" s="1"/>
  <c r="I1576" i="54" s="1"/>
  <c r="A32" i="53"/>
  <c r="C32" i="53" s="1"/>
  <c r="B32" i="53" l="1"/>
  <c r="D32" i="53"/>
  <c r="H32" i="53" s="1"/>
  <c r="G912" i="54" l="1"/>
  <c r="I405" i="54"/>
  <c r="I503" i="54" s="1"/>
  <c r="B405" i="54"/>
  <c r="B503" i="54" s="1"/>
  <c r="B569" i="54" l="1"/>
  <c r="I569" i="54"/>
  <c r="A159" i="55"/>
  <c r="A119" i="53" s="1"/>
  <c r="H1659" i="54"/>
  <c r="G1659" i="54"/>
  <c r="F1659" i="54"/>
  <c r="I1659" i="54" s="1"/>
  <c r="B1657" i="54"/>
  <c r="A165" i="55"/>
  <c r="A122" i="53" s="1"/>
  <c r="H1668" i="54"/>
  <c r="G1668" i="54"/>
  <c r="F1668" i="54"/>
  <c r="I1668" i="54" s="1"/>
  <c r="B1666" i="54"/>
  <c r="A163" i="55"/>
  <c r="A121" i="53" s="1"/>
  <c r="C121" i="53" s="1"/>
  <c r="H1665" i="54"/>
  <c r="G1665" i="54"/>
  <c r="F1665" i="54"/>
  <c r="I1665" i="54" s="1"/>
  <c r="B1663" i="54"/>
  <c r="G1051" i="54"/>
  <c r="D119" i="53" l="1"/>
  <c r="H119" i="53" s="1"/>
  <c r="C119" i="53"/>
  <c r="B119" i="53"/>
  <c r="C122" i="53"/>
  <c r="D122" i="53"/>
  <c r="H122" i="53" s="1"/>
  <c r="B122" i="53"/>
  <c r="B121" i="53"/>
  <c r="D121" i="53"/>
  <c r="H121" i="53" s="1"/>
  <c r="A111" i="55" l="1"/>
  <c r="A79" i="53" s="1"/>
  <c r="C79" i="53" s="1"/>
  <c r="H1291" i="54"/>
  <c r="F1291" i="54"/>
  <c r="I1291" i="54" s="1"/>
  <c r="B1270" i="54"/>
  <c r="B79" i="53" l="1"/>
  <c r="D79" i="53"/>
  <c r="H79" i="53" s="1"/>
  <c r="G1464" i="54" l="1"/>
  <c r="G1446" i="54"/>
  <c r="G1332" i="54" l="1"/>
  <c r="G1267" i="54"/>
  <c r="G1307" i="54" s="1"/>
  <c r="G1265" i="54"/>
  <c r="G1305" i="54" s="1"/>
  <c r="G1251" i="54"/>
  <c r="G1233" i="54"/>
  <c r="G134" i="54"/>
  <c r="I132" i="54"/>
  <c r="B132" i="54"/>
  <c r="I130" i="54"/>
  <c r="B130" i="54"/>
  <c r="G48" i="54"/>
  <c r="G1578" i="54"/>
  <c r="B489" i="54"/>
  <c r="B491" i="54"/>
  <c r="B493" i="54"/>
  <c r="B495" i="54"/>
  <c r="I934" i="54" l="1"/>
  <c r="I1049" i="54" s="1"/>
  <c r="I1231" i="54" s="1"/>
  <c r="I1249" i="54" s="1"/>
  <c r="I1267" i="54" s="1"/>
  <c r="I1307" i="54" s="1"/>
  <c r="I1330" i="54" s="1"/>
  <c r="I1368" i="54" s="1"/>
  <c r="I1406" i="54" s="1"/>
  <c r="I1444" i="54" s="1"/>
  <c r="I1462" i="54" s="1"/>
  <c r="I788" i="54"/>
  <c r="I932" i="54"/>
  <c r="I1047" i="54" s="1"/>
  <c r="I1229" i="54" s="1"/>
  <c r="I1247" i="54" s="1"/>
  <c r="I1265" i="54" s="1"/>
  <c r="I1305" i="54" s="1"/>
  <c r="I1328" i="54" s="1"/>
  <c r="I1366" i="54" s="1"/>
  <c r="I1404" i="54" s="1"/>
  <c r="I1442" i="54" s="1"/>
  <c r="I1460" i="54" s="1"/>
  <c r="I786" i="54"/>
  <c r="B932" i="54"/>
  <c r="B1047" i="54" s="1"/>
  <c r="B1229" i="54" s="1"/>
  <c r="B1247" i="54" s="1"/>
  <c r="B1265" i="54" s="1"/>
  <c r="B1305" i="54" s="1"/>
  <c r="B1328" i="54" s="1"/>
  <c r="B1366" i="54" s="1"/>
  <c r="B1404" i="54" s="1"/>
  <c r="B1442" i="54" s="1"/>
  <c r="B1460" i="54" s="1"/>
  <c r="B786" i="54"/>
  <c r="B934" i="54"/>
  <c r="B1049" i="54" s="1"/>
  <c r="B1231" i="54" s="1"/>
  <c r="B1249" i="54" s="1"/>
  <c r="B1267" i="54" s="1"/>
  <c r="B1307" i="54" s="1"/>
  <c r="B1330" i="54" s="1"/>
  <c r="B1368" i="54" s="1"/>
  <c r="B1406" i="54" s="1"/>
  <c r="B1444" i="54" s="1"/>
  <c r="B1462" i="54" s="1"/>
  <c r="B788" i="54"/>
  <c r="G1135" i="54"/>
  <c r="G715" i="54"/>
  <c r="G749" i="54"/>
  <c r="G1180" i="54"/>
  <c r="G280" i="54"/>
  <c r="G906" i="54"/>
  <c r="A9" i="65"/>
  <c r="G16" i="64"/>
  <c r="F16" i="64"/>
  <c r="I16" i="64" s="1"/>
  <c r="B13" i="64"/>
  <c r="C18" i="61"/>
  <c r="C17" i="61"/>
  <c r="J17" i="61"/>
  <c r="P17" i="61" s="1"/>
  <c r="L17" i="61"/>
  <c r="O17" i="61" s="1"/>
  <c r="F17" i="61"/>
  <c r="C16" i="61"/>
  <c r="J16" i="61"/>
  <c r="P16" i="61" s="1"/>
  <c r="F16" i="61"/>
  <c r="C15" i="61"/>
  <c r="C14" i="61"/>
  <c r="C13" i="61"/>
  <c r="J13" i="61"/>
  <c r="P13" i="61" s="1"/>
  <c r="L13" i="61"/>
  <c r="O13" i="61" s="1"/>
  <c r="C12" i="61"/>
  <c r="C11" i="61"/>
  <c r="C10" i="61"/>
  <c r="C9" i="61"/>
  <c r="C8" i="61"/>
  <c r="C7" i="61"/>
  <c r="J7" i="61"/>
  <c r="P7" i="61" s="1"/>
  <c r="E1" i="62"/>
  <c r="E3" i="62"/>
  <c r="E4" i="62"/>
  <c r="E5" i="62"/>
  <c r="G12" i="64"/>
  <c r="A7" i="65"/>
  <c r="A10" i="62" l="1"/>
  <c r="D10" i="62" s="1"/>
  <c r="H10" i="62" s="1"/>
  <c r="A11" i="62"/>
  <c r="C11" i="62" s="1"/>
  <c r="K7" i="61"/>
  <c r="K16" i="61"/>
  <c r="L7" i="61"/>
  <c r="O7" i="61" s="1"/>
  <c r="K13" i="61"/>
  <c r="L16" i="61"/>
  <c r="O16" i="61" s="1"/>
  <c r="K17" i="61"/>
  <c r="N17" i="61"/>
  <c r="M17" i="61" s="1"/>
  <c r="G17" i="61"/>
  <c r="G16" i="61"/>
  <c r="N16" i="61"/>
  <c r="M16" i="61" s="1"/>
  <c r="N13" i="61"/>
  <c r="M13" i="61" s="1"/>
  <c r="F13" i="61"/>
  <c r="G13" i="61"/>
  <c r="N7" i="61"/>
  <c r="M7" i="61" s="1"/>
  <c r="F7" i="61"/>
  <c r="G7" i="61"/>
  <c r="C10" i="62"/>
  <c r="F12" i="64"/>
  <c r="B9" i="64"/>
  <c r="A4" i="64"/>
  <c r="H5" i="64"/>
  <c r="H4" i="64"/>
  <c r="H3" i="64"/>
  <c r="A3" i="64"/>
  <c r="H1" i="64"/>
  <c r="C1" i="64"/>
  <c r="A1" i="64"/>
  <c r="A4" i="65"/>
  <c r="E3" i="65"/>
  <c r="A3" i="65"/>
  <c r="E2" i="65"/>
  <c r="C1" i="65"/>
  <c r="E1" i="65"/>
  <c r="A1" i="65"/>
  <c r="C2" i="62"/>
  <c r="A3" i="62"/>
  <c r="A2" i="62"/>
  <c r="A1" i="62"/>
  <c r="J19" i="61"/>
  <c r="P19" i="61" s="1"/>
  <c r="J9" i="61"/>
  <c r="J10" i="61"/>
  <c r="J11" i="61"/>
  <c r="L11" i="61" s="1"/>
  <c r="O11" i="61" s="1"/>
  <c r="M11" i="61" s="1"/>
  <c r="J12" i="61"/>
  <c r="P12" i="61" s="1"/>
  <c r="J14" i="61"/>
  <c r="J15" i="61"/>
  <c r="N15" i="61" s="1"/>
  <c r="J18" i="61"/>
  <c r="P18" i="61" s="1"/>
  <c r="J8" i="61"/>
  <c r="N8" i="61" s="1"/>
  <c r="J3" i="61"/>
  <c r="A2" i="61"/>
  <c r="J1" i="61"/>
  <c r="E1" i="61"/>
  <c r="A1" i="61"/>
  <c r="A9" i="62"/>
  <c r="D20" i="61"/>
  <c r="C20" i="61"/>
  <c r="G19" i="61"/>
  <c r="N19" i="61" s="1"/>
  <c r="G18" i="61"/>
  <c r="P15" i="61"/>
  <c r="G15" i="61"/>
  <c r="P14" i="61"/>
  <c r="N14" i="61"/>
  <c r="L14" i="61"/>
  <c r="O14" i="61" s="1"/>
  <c r="P11" i="61"/>
  <c r="N11" i="61"/>
  <c r="G11" i="61"/>
  <c r="P10" i="61"/>
  <c r="N10" i="61"/>
  <c r="G10" i="61"/>
  <c r="P9" i="61"/>
  <c r="N9" i="61"/>
  <c r="L9" i="61"/>
  <c r="O9" i="61" s="1"/>
  <c r="M9" i="61" s="1"/>
  <c r="G8" i="61"/>
  <c r="C6" i="61"/>
  <c r="B10" i="62" l="1"/>
  <c r="B11" i="62"/>
  <c r="I12" i="64"/>
  <c r="F27" i="65"/>
  <c r="F21" i="65"/>
  <c r="F23" i="65"/>
  <c r="F19" i="65"/>
  <c r="F17" i="65"/>
  <c r="F13" i="65"/>
  <c r="F11" i="65"/>
  <c r="F29" i="65"/>
  <c r="F9" i="65"/>
  <c r="E11" i="62" s="1"/>
  <c r="F7" i="65"/>
  <c r="E10" i="62" s="1"/>
  <c r="G10" i="62" s="1"/>
  <c r="D11" i="62"/>
  <c r="H11" i="62" s="1"/>
  <c r="L19" i="61"/>
  <c r="O19" i="61" s="1"/>
  <c r="L12" i="61"/>
  <c r="O12" i="61" s="1"/>
  <c r="N18" i="61"/>
  <c r="P8" i="61"/>
  <c r="M14" i="61"/>
  <c r="G14" i="61"/>
  <c r="L15" i="61"/>
  <c r="O15" i="61" s="1"/>
  <c r="M15" i="61" s="1"/>
  <c r="G9" i="61"/>
  <c r="L10" i="61"/>
  <c r="O10" i="61" s="1"/>
  <c r="M10" i="61" s="1"/>
  <c r="G12" i="61"/>
  <c r="L18" i="61"/>
  <c r="O18" i="61" s="1"/>
  <c r="M18" i="61" s="1"/>
  <c r="H15" i="62"/>
  <c r="K11" i="61"/>
  <c r="K18" i="61"/>
  <c r="F18" i="61"/>
  <c r="F15" i="61"/>
  <c r="M19" i="61"/>
  <c r="N12" i="61"/>
  <c r="M12" i="61" s="1"/>
  <c r="L8" i="61"/>
  <c r="O8" i="61" s="1"/>
  <c r="M8" i="61" s="1"/>
  <c r="E9" i="65" l="1"/>
  <c r="E7" i="65"/>
  <c r="E27" i="62"/>
  <c r="G27" i="62" s="1"/>
  <c r="G28" i="62" s="1"/>
  <c r="H19" i="61" s="1"/>
  <c r="E29" i="65"/>
  <c r="E11" i="65"/>
  <c r="E12" i="62"/>
  <c r="G12" i="62" s="1"/>
  <c r="E23" i="65"/>
  <c r="E20" i="62"/>
  <c r="G20" i="62" s="1"/>
  <c r="E13" i="65"/>
  <c r="E13" i="62"/>
  <c r="G13" i="62" s="1"/>
  <c r="E21" i="65"/>
  <c r="E19" i="62"/>
  <c r="G19" i="62" s="1"/>
  <c r="E19" i="65"/>
  <c r="E18" i="62"/>
  <c r="G18" i="62" s="1"/>
  <c r="E17" i="65"/>
  <c r="E17" i="62"/>
  <c r="G17" i="62" s="1"/>
  <c r="E27" i="65"/>
  <c r="E24" i="62"/>
  <c r="G24" i="62" s="1"/>
  <c r="G25" i="62" s="1"/>
  <c r="H12" i="61" s="1"/>
  <c r="G11" i="62"/>
  <c r="G15" i="62" s="1"/>
  <c r="H8" i="61" s="1"/>
  <c r="K8" i="61" s="1"/>
  <c r="F11" i="61"/>
  <c r="K15" i="61"/>
  <c r="F12" i="61" l="1"/>
  <c r="K12" i="61"/>
  <c r="G22" i="62"/>
  <c r="H9" i="61" s="1"/>
  <c r="H20" i="61" s="1"/>
  <c r="K19" i="61"/>
  <c r="F19" i="61"/>
  <c r="F8" i="61"/>
  <c r="F14" i="61"/>
  <c r="K14" i="61"/>
  <c r="K10" i="61"/>
  <c r="F10" i="61"/>
  <c r="K9" i="61" l="1"/>
  <c r="K20" i="61" s="1"/>
  <c r="L12" i="35" s="1"/>
  <c r="J12" i="35" s="1"/>
  <c r="F9" i="61"/>
  <c r="F20" i="61" s="1"/>
  <c r="L14" i="35" l="1"/>
  <c r="F14" i="35"/>
  <c r="F15" i="35" s="1"/>
  <c r="G615" i="54" l="1"/>
  <c r="G613" i="54"/>
  <c r="G611" i="54"/>
  <c r="G609" i="54"/>
  <c r="G607" i="54"/>
  <c r="G605" i="54"/>
  <c r="G603" i="54"/>
  <c r="G599" i="54"/>
  <c r="G597" i="54"/>
  <c r="G595" i="54"/>
  <c r="G593" i="54"/>
  <c r="G591" i="54"/>
  <c r="G589" i="54"/>
  <c r="G587" i="54"/>
  <c r="G579" i="54"/>
  <c r="G577" i="54"/>
  <c r="G575" i="54"/>
  <c r="G573" i="54"/>
  <c r="G571" i="54"/>
  <c r="G533" i="54"/>
  <c r="G531" i="54"/>
  <c r="G529" i="54"/>
  <c r="G527" i="54"/>
  <c r="G525" i="54"/>
  <c r="G523" i="54"/>
  <c r="G521" i="54"/>
  <c r="G513" i="54"/>
  <c r="G511" i="54"/>
  <c r="G509" i="54"/>
  <c r="G507" i="54"/>
  <c r="G505" i="54"/>
  <c r="G465" i="54"/>
  <c r="G463" i="54"/>
  <c r="G461" i="54"/>
  <c r="G459" i="54"/>
  <c r="G457" i="54"/>
  <c r="G455" i="54"/>
  <c r="G453" i="54"/>
  <c r="G451" i="54"/>
  <c r="G449" i="54"/>
  <c r="G447" i="54"/>
  <c r="G445" i="54"/>
  <c r="G443" i="54"/>
  <c r="G441" i="54"/>
  <c r="G439" i="54"/>
  <c r="G435" i="54"/>
  <c r="G433" i="54"/>
  <c r="G431" i="54"/>
  <c r="G429" i="54"/>
  <c r="G427" i="54"/>
  <c r="G425" i="54"/>
  <c r="G423" i="54"/>
  <c r="G415" i="54"/>
  <c r="G413" i="54"/>
  <c r="G411" i="54"/>
  <c r="G409" i="54"/>
  <c r="G407" i="54"/>
  <c r="G363" i="54"/>
  <c r="G361" i="54"/>
  <c r="G359" i="54"/>
  <c r="G357" i="54"/>
  <c r="G355" i="54"/>
  <c r="C34" i="52"/>
  <c r="C31" i="52"/>
  <c r="C30" i="52"/>
  <c r="C29" i="52"/>
  <c r="C28" i="52"/>
  <c r="C27" i="52"/>
  <c r="C26" i="52"/>
  <c r="C25" i="52"/>
  <c r="C24" i="52"/>
  <c r="C23" i="52"/>
  <c r="C22" i="52"/>
  <c r="C19" i="52"/>
  <c r="C17" i="52"/>
  <c r="C16" i="52"/>
  <c r="C15" i="52"/>
  <c r="C14" i="52"/>
  <c r="C13" i="52"/>
  <c r="C12" i="52"/>
  <c r="C10" i="52"/>
  <c r="C9" i="52"/>
  <c r="C8" i="52"/>
  <c r="C7" i="52"/>
  <c r="G387" i="54" l="1"/>
  <c r="G551" i="54"/>
  <c r="G649" i="54"/>
  <c r="G485" i="54"/>
  <c r="G332" i="54"/>
  <c r="I268" i="54"/>
  <c r="I320" i="54" s="1"/>
  <c r="I441" i="54" s="1"/>
  <c r="I523" i="54" s="1"/>
  <c r="I605" i="54" s="1"/>
  <c r="I687" i="54" s="1"/>
  <c r="I878" i="54" s="1"/>
  <c r="I1550" i="54" s="1"/>
  <c r="I270" i="54"/>
  <c r="I322" i="54" s="1"/>
  <c r="I443" i="54" s="1"/>
  <c r="I525" i="54" s="1"/>
  <c r="I607" i="54" s="1"/>
  <c r="I689" i="54" s="1"/>
  <c r="I880" i="54" s="1"/>
  <c r="I1552" i="54" s="1"/>
  <c r="I272" i="54"/>
  <c r="I324" i="54" s="1"/>
  <c r="I445" i="54" s="1"/>
  <c r="I527" i="54" s="1"/>
  <c r="I609" i="54" s="1"/>
  <c r="I691" i="54" s="1"/>
  <c r="I882" i="54" s="1"/>
  <c r="I1554" i="54" s="1"/>
  <c r="I274" i="54"/>
  <c r="I326" i="54" s="1"/>
  <c r="I447" i="54" s="1"/>
  <c r="I529" i="54" s="1"/>
  <c r="I611" i="54" s="1"/>
  <c r="I693" i="54" s="1"/>
  <c r="I884" i="54" s="1"/>
  <c r="I1556" i="54" s="1"/>
  <c r="I276" i="54"/>
  <c r="I328" i="54" s="1"/>
  <c r="I449" i="54" s="1"/>
  <c r="I531" i="54" s="1"/>
  <c r="I613" i="54" s="1"/>
  <c r="I695" i="54" s="1"/>
  <c r="I886" i="54" s="1"/>
  <c r="I1558" i="54" s="1"/>
  <c r="I278" i="54"/>
  <c r="I330" i="54" s="1"/>
  <c r="I451" i="54" s="1"/>
  <c r="I533" i="54" s="1"/>
  <c r="I615" i="54" s="1"/>
  <c r="I697" i="54" s="1"/>
  <c r="I888" i="54" s="1"/>
  <c r="I1560" i="54" s="1"/>
  <c r="I266" i="54"/>
  <c r="I318" i="54" s="1"/>
  <c r="I439" i="54" s="1"/>
  <c r="I521" i="54" s="1"/>
  <c r="I603" i="54" s="1"/>
  <c r="I685" i="54" s="1"/>
  <c r="I876" i="54" s="1"/>
  <c r="I1548" i="54" s="1"/>
  <c r="B268" i="54"/>
  <c r="B320" i="54" s="1"/>
  <c r="B441" i="54" s="1"/>
  <c r="B270" i="54"/>
  <c r="B322" i="54" s="1"/>
  <c r="B443" i="54" s="1"/>
  <c r="B272" i="54"/>
  <c r="B324" i="54" s="1"/>
  <c r="B445" i="54" s="1"/>
  <c r="B274" i="54"/>
  <c r="B326" i="54" s="1"/>
  <c r="B447" i="54" s="1"/>
  <c r="B276" i="54"/>
  <c r="B328" i="54" s="1"/>
  <c r="B449" i="54" s="1"/>
  <c r="B278" i="54"/>
  <c r="B330" i="54" s="1"/>
  <c r="B451" i="54" s="1"/>
  <c r="B266" i="54"/>
  <c r="B318" i="54" s="1"/>
  <c r="B439" i="54" s="1"/>
  <c r="A30" i="53"/>
  <c r="A39" i="55"/>
  <c r="G155" i="54"/>
  <c r="H155" i="54"/>
  <c r="F155" i="54"/>
  <c r="I155" i="54" s="1"/>
  <c r="B140" i="54"/>
  <c r="A31" i="53" l="1"/>
  <c r="D31" i="53" s="1"/>
  <c r="H31" i="53" s="1"/>
  <c r="H33" i="53" s="1"/>
  <c r="B31" i="53" l="1"/>
  <c r="C31" i="53"/>
  <c r="H1674" i="54" l="1"/>
  <c r="G1674" i="54"/>
  <c r="F1674" i="54"/>
  <c r="I1674" i="54" s="1"/>
  <c r="H1671" i="54"/>
  <c r="G1671" i="54"/>
  <c r="F1671" i="54"/>
  <c r="I1671" i="54" s="1"/>
  <c r="H1662" i="54"/>
  <c r="G1662" i="54"/>
  <c r="F1662" i="54"/>
  <c r="I1662" i="54" s="1"/>
  <c r="H1656" i="54"/>
  <c r="G1656" i="54"/>
  <c r="F1656" i="54"/>
  <c r="I1656" i="54" s="1"/>
  <c r="H1653" i="54"/>
  <c r="G1653" i="54"/>
  <c r="F1653" i="54"/>
  <c r="I1653" i="54" s="1"/>
  <c r="H1647" i="54"/>
  <c r="G1647" i="54"/>
  <c r="F1647" i="54"/>
  <c r="I1647" i="54" s="1"/>
  <c r="F1644" i="54"/>
  <c r="I1644" i="54" s="1"/>
  <c r="H1644" i="54"/>
  <c r="G1644" i="54"/>
  <c r="F1633" i="54"/>
  <c r="I1633" i="54" s="1"/>
  <c r="H1633" i="54"/>
  <c r="F1629" i="54"/>
  <c r="I1629" i="54" s="1"/>
  <c r="H1629" i="54"/>
  <c r="F1611" i="54"/>
  <c r="I1611" i="54" s="1"/>
  <c r="H1611" i="54"/>
  <c r="G1015" i="54" l="1"/>
  <c r="G1008" i="54"/>
  <c r="G1006" i="54"/>
  <c r="G1004" i="54"/>
  <c r="G1002" i="54"/>
  <c r="G1000" i="54"/>
  <c r="G998" i="54"/>
  <c r="G996" i="54"/>
  <c r="G994" i="54"/>
  <c r="I316" i="54"/>
  <c r="I467" i="54" s="1"/>
  <c r="I310" i="54"/>
  <c r="I461" i="54" s="1"/>
  <c r="I308" i="54"/>
  <c r="I459" i="54" s="1"/>
  <c r="I306" i="54"/>
  <c r="I457" i="54" s="1"/>
  <c r="I304" i="54"/>
  <c r="I455" i="54" s="1"/>
  <c r="I302" i="54"/>
  <c r="I453" i="54" s="1"/>
  <c r="A47" i="55"/>
  <c r="I234" i="54"/>
  <c r="I236" i="54"/>
  <c r="I238" i="54"/>
  <c r="I240" i="54"/>
  <c r="I242" i="54"/>
  <c r="I312" i="54" s="1"/>
  <c r="I463" i="54" s="1"/>
  <c r="I244" i="54"/>
  <c r="I314" i="54" s="1"/>
  <c r="I465" i="54" s="1"/>
  <c r="I246" i="54"/>
  <c r="B234" i="54"/>
  <c r="B304" i="54" s="1"/>
  <c r="B455" i="54" s="1"/>
  <c r="B236" i="54"/>
  <c r="B306" i="54" s="1"/>
  <c r="B457" i="54" s="1"/>
  <c r="B238" i="54"/>
  <c r="B308" i="54" s="1"/>
  <c r="B459" i="54" s="1"/>
  <c r="B240" i="54"/>
  <c r="B310" i="54" s="1"/>
  <c r="B461" i="54" s="1"/>
  <c r="B242" i="54"/>
  <c r="B312" i="54" s="1"/>
  <c r="B463" i="54" s="1"/>
  <c r="B244" i="54"/>
  <c r="B314" i="54" s="1"/>
  <c r="B465" i="54" s="1"/>
  <c r="B246" i="54"/>
  <c r="B316" i="54" s="1"/>
  <c r="B467" i="54" s="1"/>
  <c r="I232" i="54"/>
  <c r="B232" i="54"/>
  <c r="B302" i="54" s="1"/>
  <c r="B453" i="54" s="1"/>
  <c r="H248" i="54"/>
  <c r="G248" i="54"/>
  <c r="F248" i="54"/>
  <c r="I248" i="54" s="1"/>
  <c r="B231" i="54"/>
  <c r="B625" i="54" l="1"/>
  <c r="B868" i="54" s="1"/>
  <c r="B543" i="54"/>
  <c r="I617" i="54"/>
  <c r="I860" i="54" s="1"/>
  <c r="I994" i="54" s="1"/>
  <c r="I535" i="54"/>
  <c r="I625" i="54"/>
  <c r="I868" i="54" s="1"/>
  <c r="I543" i="54"/>
  <c r="B627" i="54"/>
  <c r="B870" i="54" s="1"/>
  <c r="B1004" i="54" s="1"/>
  <c r="B545" i="54"/>
  <c r="B619" i="54"/>
  <c r="B862" i="54" s="1"/>
  <c r="B537" i="54"/>
  <c r="I623" i="54"/>
  <c r="I866" i="54" s="1"/>
  <c r="I1109" i="54" s="1"/>
  <c r="I541" i="54"/>
  <c r="B631" i="54"/>
  <c r="B874" i="54" s="1"/>
  <c r="B1117" i="54" s="1"/>
  <c r="B549" i="54"/>
  <c r="B623" i="54"/>
  <c r="B866" i="54" s="1"/>
  <c r="B1109" i="54" s="1"/>
  <c r="B541" i="54"/>
  <c r="I629" i="54"/>
  <c r="I872" i="54" s="1"/>
  <c r="I1115" i="54" s="1"/>
  <c r="I547" i="54"/>
  <c r="I619" i="54"/>
  <c r="I862" i="54" s="1"/>
  <c r="I1105" i="54" s="1"/>
  <c r="I537" i="54"/>
  <c r="I631" i="54"/>
  <c r="I874" i="54" s="1"/>
  <c r="I1117" i="54" s="1"/>
  <c r="I549" i="54"/>
  <c r="B617" i="54"/>
  <c r="B860" i="54" s="1"/>
  <c r="B1103" i="54" s="1"/>
  <c r="B535" i="54"/>
  <c r="B629" i="54"/>
  <c r="B872" i="54" s="1"/>
  <c r="B1006" i="54" s="1"/>
  <c r="B547" i="54"/>
  <c r="B621" i="54"/>
  <c r="B864" i="54" s="1"/>
  <c r="B1107" i="54" s="1"/>
  <c r="B539" i="54"/>
  <c r="I627" i="54"/>
  <c r="I870" i="54" s="1"/>
  <c r="I1113" i="54" s="1"/>
  <c r="I545" i="54"/>
  <c r="I621" i="54"/>
  <c r="I864" i="54" s="1"/>
  <c r="I998" i="54" s="1"/>
  <c r="I539" i="54"/>
  <c r="I1002" i="54"/>
  <c r="I1111" i="54"/>
  <c r="I1008" i="54"/>
  <c r="I1006" i="54"/>
  <c r="B996" i="54"/>
  <c r="B1105" i="54"/>
  <c r="B1111" i="54"/>
  <c r="B1002" i="54"/>
  <c r="A37" i="53"/>
  <c r="C37" i="53" s="1"/>
  <c r="A127" i="55"/>
  <c r="F1464" i="54"/>
  <c r="I1464" i="54" s="1"/>
  <c r="B1447" i="54"/>
  <c r="A125" i="55"/>
  <c r="F1446" i="54"/>
  <c r="I1446" i="54" s="1"/>
  <c r="B1429" i="54"/>
  <c r="A123" i="55"/>
  <c r="F1428" i="54"/>
  <c r="I1428" i="54" s="1"/>
  <c r="B1391" i="54"/>
  <c r="A101" i="55"/>
  <c r="A91" i="55"/>
  <c r="A55" i="55"/>
  <c r="A53" i="55"/>
  <c r="A51" i="55"/>
  <c r="A49" i="55"/>
  <c r="A45" i="55"/>
  <c r="A43" i="55"/>
  <c r="A35" i="55"/>
  <c r="A33" i="55"/>
  <c r="A31" i="55"/>
  <c r="A29" i="55"/>
  <c r="A113" i="55"/>
  <c r="H1309" i="54"/>
  <c r="F1309" i="54"/>
  <c r="I1309" i="54" s="1"/>
  <c r="B1292" i="54"/>
  <c r="G1263" i="54"/>
  <c r="G1303" i="54" s="1"/>
  <c r="G1261" i="54"/>
  <c r="G1301" i="54" s="1"/>
  <c r="G1259" i="54"/>
  <c r="G1299" i="54" s="1"/>
  <c r="G1257" i="54"/>
  <c r="G1297" i="54" s="1"/>
  <c r="G1255" i="54"/>
  <c r="G1253" i="54"/>
  <c r="A105" i="55"/>
  <c r="H1233" i="54"/>
  <c r="F1233" i="54"/>
  <c r="I1233" i="54" s="1"/>
  <c r="B1216" i="54"/>
  <c r="A85" i="55"/>
  <c r="G922" i="54"/>
  <c r="G924" i="54"/>
  <c r="G926" i="54"/>
  <c r="G928" i="54"/>
  <c r="G930" i="54"/>
  <c r="G920" i="54"/>
  <c r="A73" i="55"/>
  <c r="H806" i="54"/>
  <c r="F806" i="54"/>
  <c r="I806" i="54" s="1"/>
  <c r="I1277" i="54" s="1"/>
  <c r="I1376" i="54" s="1"/>
  <c r="I1414" i="54" s="1"/>
  <c r="B773" i="54"/>
  <c r="H938" i="54"/>
  <c r="F938" i="54"/>
  <c r="I938" i="54" s="1"/>
  <c r="B919" i="54"/>
  <c r="I128" i="54"/>
  <c r="I784" i="54" s="1"/>
  <c r="I930" i="54" s="1"/>
  <c r="I1045" i="54" s="1"/>
  <c r="I1227" i="54" s="1"/>
  <c r="I1245" i="54" s="1"/>
  <c r="I1263" i="54" s="1"/>
  <c r="I1303" i="54" s="1"/>
  <c r="I1326" i="54" s="1"/>
  <c r="I1364" i="54" s="1"/>
  <c r="I1402" i="54" s="1"/>
  <c r="I1440" i="54" s="1"/>
  <c r="I1458" i="54" s="1"/>
  <c r="B128" i="54"/>
  <c r="B784" i="54" s="1"/>
  <c r="B930" i="54" s="1"/>
  <c r="B1045" i="54" s="1"/>
  <c r="B1227" i="54" s="1"/>
  <c r="B1245" i="54" s="1"/>
  <c r="B1263" i="54" s="1"/>
  <c r="B1303" i="54" s="1"/>
  <c r="B1326" i="54" s="1"/>
  <c r="B1364" i="54" s="1"/>
  <c r="B1402" i="54" s="1"/>
  <c r="B1440" i="54" s="1"/>
  <c r="B1458" i="54" s="1"/>
  <c r="I126" i="54"/>
  <c r="I782" i="54" s="1"/>
  <c r="I928" i="54" s="1"/>
  <c r="I1043" i="54" s="1"/>
  <c r="I1225" i="54" s="1"/>
  <c r="I1243" i="54" s="1"/>
  <c r="I1261" i="54" s="1"/>
  <c r="I1301" i="54" s="1"/>
  <c r="I1324" i="54" s="1"/>
  <c r="I1362" i="54" s="1"/>
  <c r="I1400" i="54" s="1"/>
  <c r="I1438" i="54" s="1"/>
  <c r="I1456" i="54" s="1"/>
  <c r="B126" i="54"/>
  <c r="B782" i="54" s="1"/>
  <c r="B928" i="54" s="1"/>
  <c r="B1043" i="54" s="1"/>
  <c r="B1225" i="54" s="1"/>
  <c r="B1243" i="54" s="1"/>
  <c r="B1261" i="54" s="1"/>
  <c r="B1301" i="54" s="1"/>
  <c r="B1324" i="54" s="1"/>
  <c r="B1362" i="54" s="1"/>
  <c r="B1400" i="54" s="1"/>
  <c r="B1438" i="54" s="1"/>
  <c r="B1456" i="54" s="1"/>
  <c r="I124" i="54"/>
  <c r="I780" i="54" s="1"/>
  <c r="I926" i="54" s="1"/>
  <c r="I1041" i="54" s="1"/>
  <c r="I1223" i="54" s="1"/>
  <c r="I1241" i="54" s="1"/>
  <c r="I1259" i="54" s="1"/>
  <c r="I1299" i="54" s="1"/>
  <c r="I1322" i="54" s="1"/>
  <c r="I1360" i="54" s="1"/>
  <c r="I1398" i="54" s="1"/>
  <c r="I1436" i="54" s="1"/>
  <c r="I1454" i="54" s="1"/>
  <c r="B124" i="54"/>
  <c r="B780" i="54" s="1"/>
  <c r="B926" i="54" s="1"/>
  <c r="B1041" i="54" s="1"/>
  <c r="B1223" i="54" s="1"/>
  <c r="B1241" i="54" s="1"/>
  <c r="B1259" i="54" s="1"/>
  <c r="B1299" i="54" s="1"/>
  <c r="B1322" i="54" s="1"/>
  <c r="B1360" i="54" s="1"/>
  <c r="B1398" i="54" s="1"/>
  <c r="B1436" i="54" s="1"/>
  <c r="B1454" i="54" s="1"/>
  <c r="I122" i="54"/>
  <c r="I778" i="54" s="1"/>
  <c r="I924" i="54" s="1"/>
  <c r="I1039" i="54" s="1"/>
  <c r="I1221" i="54" s="1"/>
  <c r="I1239" i="54" s="1"/>
  <c r="I1257" i="54" s="1"/>
  <c r="I1297" i="54" s="1"/>
  <c r="I1320" i="54" s="1"/>
  <c r="I1358" i="54" s="1"/>
  <c r="I1396" i="54" s="1"/>
  <c r="I1434" i="54" s="1"/>
  <c r="I1452" i="54" s="1"/>
  <c r="B122" i="54"/>
  <c r="B778" i="54" s="1"/>
  <c r="B924" i="54" s="1"/>
  <c r="B1039" i="54" s="1"/>
  <c r="B1221" i="54" s="1"/>
  <c r="B1239" i="54" s="1"/>
  <c r="B1257" i="54" s="1"/>
  <c r="B1297" i="54" s="1"/>
  <c r="B1320" i="54" s="1"/>
  <c r="B1358" i="54" s="1"/>
  <c r="B1396" i="54" s="1"/>
  <c r="B1434" i="54" s="1"/>
  <c r="B1452" i="54" s="1"/>
  <c r="I120" i="54"/>
  <c r="I776" i="54" s="1"/>
  <c r="I922" i="54" s="1"/>
  <c r="I1037" i="54" s="1"/>
  <c r="I1219" i="54" s="1"/>
  <c r="I1237" i="54" s="1"/>
  <c r="I1255" i="54" s="1"/>
  <c r="B120" i="54"/>
  <c r="B776" i="54" s="1"/>
  <c r="B922" i="54" s="1"/>
  <c r="B1037" i="54" s="1"/>
  <c r="B1219" i="54" s="1"/>
  <c r="B1237" i="54" s="1"/>
  <c r="B1255" i="54" s="1"/>
  <c r="I118" i="54"/>
  <c r="I774" i="54" s="1"/>
  <c r="I920" i="54" s="1"/>
  <c r="I1035" i="54" s="1"/>
  <c r="I1217" i="54" s="1"/>
  <c r="I1235" i="54" s="1"/>
  <c r="I1253" i="54" s="1"/>
  <c r="B118" i="54"/>
  <c r="B774" i="54" s="1"/>
  <c r="B920" i="54" s="1"/>
  <c r="B1035" i="54" s="1"/>
  <c r="B1217" i="54" s="1"/>
  <c r="B1235" i="54" s="1"/>
  <c r="B1253" i="54" s="1"/>
  <c r="A17" i="55"/>
  <c r="H48" i="54"/>
  <c r="F48" i="54"/>
  <c r="I48" i="54" s="1"/>
  <c r="B31" i="54"/>
  <c r="G938" i="54" l="1"/>
  <c r="B1008" i="54"/>
  <c r="B1115" i="54"/>
  <c r="B1113" i="54"/>
  <c r="I1004" i="54"/>
  <c r="I1103" i="54"/>
  <c r="I1000" i="54"/>
  <c r="I1013" i="54" s="1"/>
  <c r="I1107" i="54"/>
  <c r="B994" i="54"/>
  <c r="B1000" i="54"/>
  <c r="B1013" i="54" s="1"/>
  <c r="B998" i="54"/>
  <c r="I996" i="54"/>
  <c r="I1295" i="54"/>
  <c r="I1318" i="54" s="1"/>
  <c r="I1356" i="54" s="1"/>
  <c r="I1394" i="54" s="1"/>
  <c r="I1432" i="54" s="1"/>
  <c r="I1450" i="54" s="1"/>
  <c r="G1269" i="54"/>
  <c r="G1295" i="54"/>
  <c r="B1293" i="54"/>
  <c r="B1316" i="54" s="1"/>
  <c r="B1354" i="54" s="1"/>
  <c r="B1392" i="54" s="1"/>
  <c r="B1430" i="54" s="1"/>
  <c r="B1448" i="54" s="1"/>
  <c r="I1293" i="54"/>
  <c r="I1316" i="54" s="1"/>
  <c r="I1354" i="54" s="1"/>
  <c r="I1392" i="54" s="1"/>
  <c r="I1430" i="54" s="1"/>
  <c r="I1448" i="54" s="1"/>
  <c r="B1295" i="54"/>
  <c r="B1318" i="54" s="1"/>
  <c r="B1356" i="54" s="1"/>
  <c r="B1394" i="54" s="1"/>
  <c r="B1432" i="54" s="1"/>
  <c r="B1450" i="54" s="1"/>
  <c r="D37" i="53"/>
  <c r="H37" i="53" s="1"/>
  <c r="B37" i="53"/>
  <c r="A76" i="53"/>
  <c r="C76" i="53" s="1"/>
  <c r="A80" i="53"/>
  <c r="C80" i="53" s="1"/>
  <c r="A91" i="53"/>
  <c r="D91" i="53" s="1"/>
  <c r="H91" i="53" s="1"/>
  <c r="A92" i="53"/>
  <c r="C92" i="53" s="1"/>
  <c r="A93" i="53"/>
  <c r="D93" i="53" s="1"/>
  <c r="H93" i="53" s="1"/>
  <c r="C14" i="53"/>
  <c r="A60" i="53"/>
  <c r="D60" i="53" s="1"/>
  <c r="H60" i="53" s="1"/>
  <c r="A24" i="53"/>
  <c r="A65" i="53"/>
  <c r="A54" i="53"/>
  <c r="D54" i="53" s="1"/>
  <c r="H54" i="53" s="1"/>
  <c r="A27" i="53"/>
  <c r="A72" i="53"/>
  <c r="F1607" i="54"/>
  <c r="G1607" i="54" s="1"/>
  <c r="G1293" i="54"/>
  <c r="C1" i="54"/>
  <c r="H1" i="54"/>
  <c r="H3" i="54"/>
  <c r="A3" i="54"/>
  <c r="A4" i="54"/>
  <c r="H4" i="54"/>
  <c r="H5" i="54"/>
  <c r="G14" i="54"/>
  <c r="F18" i="54"/>
  <c r="H18" i="54"/>
  <c r="B19" i="54"/>
  <c r="F22" i="54"/>
  <c r="I22" i="54" s="1"/>
  <c r="H22" i="54"/>
  <c r="B23" i="54"/>
  <c r="F26" i="54"/>
  <c r="I26" i="54" s="1"/>
  <c r="H26" i="54"/>
  <c r="B27" i="54"/>
  <c r="F30" i="54"/>
  <c r="I30" i="54" s="1"/>
  <c r="G30" i="54"/>
  <c r="H30" i="54"/>
  <c r="B50" i="54"/>
  <c r="G51" i="54"/>
  <c r="G53" i="54"/>
  <c r="G55" i="54"/>
  <c r="G57" i="54"/>
  <c r="G59" i="54"/>
  <c r="G61" i="54"/>
  <c r="G63" i="54"/>
  <c r="G65" i="54"/>
  <c r="G67" i="54"/>
  <c r="F69" i="54"/>
  <c r="I69" i="54" s="1"/>
  <c r="H69" i="54"/>
  <c r="B70" i="54"/>
  <c r="G71" i="54"/>
  <c r="G73" i="54"/>
  <c r="G75" i="54"/>
  <c r="G77" i="54"/>
  <c r="G79" i="54"/>
  <c r="G81" i="54"/>
  <c r="G83" i="54"/>
  <c r="G85" i="54"/>
  <c r="F87" i="54"/>
  <c r="I87" i="54" s="1"/>
  <c r="B88" i="54"/>
  <c r="F91" i="54"/>
  <c r="I91" i="54" s="1"/>
  <c r="H91" i="54"/>
  <c r="B92" i="54"/>
  <c r="F95" i="54"/>
  <c r="I95" i="54" s="1"/>
  <c r="H95" i="54"/>
  <c r="B96" i="54"/>
  <c r="B97" i="54"/>
  <c r="B101" i="54" s="1"/>
  <c r="B107" i="54" s="1"/>
  <c r="I97" i="54"/>
  <c r="I101" i="54" s="1"/>
  <c r="I107" i="54" s="1"/>
  <c r="F99" i="54"/>
  <c r="I99" i="54" s="1"/>
  <c r="H99" i="54"/>
  <c r="B100" i="54"/>
  <c r="G103" i="54"/>
  <c r="F105" i="54"/>
  <c r="I105" i="54" s="1"/>
  <c r="H105" i="54"/>
  <c r="B106" i="54"/>
  <c r="G109" i="54"/>
  <c r="F111" i="54"/>
  <c r="I111" i="54" s="1"/>
  <c r="H111" i="54"/>
  <c r="B112" i="54"/>
  <c r="F115" i="54"/>
  <c r="I115" i="54" s="1"/>
  <c r="G115" i="54"/>
  <c r="H115" i="54"/>
  <c r="B117" i="54"/>
  <c r="F134" i="54"/>
  <c r="I134" i="54" s="1"/>
  <c r="H134" i="54"/>
  <c r="B175" i="54"/>
  <c r="I176" i="54"/>
  <c r="I334" i="54" s="1"/>
  <c r="I770" i="54" s="1"/>
  <c r="I940" i="54" s="1"/>
  <c r="F194" i="54"/>
  <c r="I194" i="54" s="1"/>
  <c r="G194" i="54"/>
  <c r="H194" i="54"/>
  <c r="B195" i="54"/>
  <c r="F230" i="54"/>
  <c r="I230" i="54" s="1"/>
  <c r="G230" i="54"/>
  <c r="H230" i="54"/>
  <c r="B249" i="54"/>
  <c r="F280" i="54"/>
  <c r="I280" i="54" s="1"/>
  <c r="H280" i="54"/>
  <c r="B281" i="54"/>
  <c r="F300" i="54"/>
  <c r="I300" i="54" s="1"/>
  <c r="H300" i="54"/>
  <c r="B301" i="54"/>
  <c r="F332" i="54"/>
  <c r="I332" i="54" s="1"/>
  <c r="H332" i="54"/>
  <c r="B333" i="54"/>
  <c r="B334" i="54"/>
  <c r="G334" i="54"/>
  <c r="B336" i="54"/>
  <c r="B389" i="54" s="1"/>
  <c r="G336" i="54"/>
  <c r="I336" i="54"/>
  <c r="I389" i="54" s="1"/>
  <c r="B338" i="54"/>
  <c r="G338" i="54"/>
  <c r="I338" i="54"/>
  <c r="I391" i="54" s="1"/>
  <c r="B340" i="54"/>
  <c r="G340" i="54"/>
  <c r="I340" i="54"/>
  <c r="I393" i="54" s="1"/>
  <c r="B342" i="54"/>
  <c r="G342" i="54"/>
  <c r="I342" i="54"/>
  <c r="I395" i="54" s="1"/>
  <c r="B344" i="54"/>
  <c r="G344" i="54"/>
  <c r="I344" i="54"/>
  <c r="I397" i="54" s="1"/>
  <c r="B346" i="54"/>
  <c r="G346" i="54"/>
  <c r="I346" i="54"/>
  <c r="I399" i="54" s="1"/>
  <c r="B348" i="54"/>
  <c r="G348" i="54"/>
  <c r="I348" i="54"/>
  <c r="I401" i="54" s="1"/>
  <c r="B350" i="54"/>
  <c r="G350" i="54"/>
  <c r="I350" i="54"/>
  <c r="I403" i="54" s="1"/>
  <c r="F352" i="54"/>
  <c r="I352" i="54" s="1"/>
  <c r="H352" i="54"/>
  <c r="B354" i="54"/>
  <c r="B355" i="54"/>
  <c r="B407" i="54" s="1"/>
  <c r="B505" i="54" s="1"/>
  <c r="B571" i="54" s="1"/>
  <c r="B669" i="54" s="1"/>
  <c r="B717" i="54" s="1"/>
  <c r="B828" i="54" s="1"/>
  <c r="B1071" i="54" s="1"/>
  <c r="B1148" i="54" s="1"/>
  <c r="B1182" i="54" s="1"/>
  <c r="B1534" i="54" s="1"/>
  <c r="I355" i="54"/>
  <c r="B357" i="54"/>
  <c r="B409" i="54" s="1"/>
  <c r="B507" i="54" s="1"/>
  <c r="B573" i="54" s="1"/>
  <c r="B671" i="54" s="1"/>
  <c r="B719" i="54" s="1"/>
  <c r="B830" i="54" s="1"/>
  <c r="B1073" i="54" s="1"/>
  <c r="B1150" i="54" s="1"/>
  <c r="B1184" i="54" s="1"/>
  <c r="B1536" i="54" s="1"/>
  <c r="I357" i="54"/>
  <c r="B359" i="54"/>
  <c r="B411" i="54" s="1"/>
  <c r="B509" i="54" s="1"/>
  <c r="B575" i="54" s="1"/>
  <c r="B673" i="54" s="1"/>
  <c r="B721" i="54" s="1"/>
  <c r="B832" i="54" s="1"/>
  <c r="B1075" i="54" s="1"/>
  <c r="B1152" i="54" s="1"/>
  <c r="B1186" i="54" s="1"/>
  <c r="B1538" i="54" s="1"/>
  <c r="I359" i="54"/>
  <c r="B361" i="54"/>
  <c r="B413" i="54" s="1"/>
  <c r="B511" i="54" s="1"/>
  <c r="B577" i="54" s="1"/>
  <c r="B675" i="54" s="1"/>
  <c r="B723" i="54" s="1"/>
  <c r="B834" i="54" s="1"/>
  <c r="B1077" i="54" s="1"/>
  <c r="B1154" i="54" s="1"/>
  <c r="B1188" i="54" s="1"/>
  <c r="B1540" i="54" s="1"/>
  <c r="I361" i="54"/>
  <c r="B363" i="54"/>
  <c r="B415" i="54" s="1"/>
  <c r="B513" i="54" s="1"/>
  <c r="B579" i="54" s="1"/>
  <c r="B677" i="54" s="1"/>
  <c r="B725" i="54" s="1"/>
  <c r="B836" i="54" s="1"/>
  <c r="B1079" i="54" s="1"/>
  <c r="B1156" i="54" s="1"/>
  <c r="B1190" i="54" s="1"/>
  <c r="B1542" i="54" s="1"/>
  <c r="I363" i="54"/>
  <c r="B365" i="54"/>
  <c r="B417" i="54" s="1"/>
  <c r="B515" i="54" s="1"/>
  <c r="B581" i="54" s="1"/>
  <c r="B679" i="54" s="1"/>
  <c r="B727" i="54" s="1"/>
  <c r="B838" i="54" s="1"/>
  <c r="B1081" i="54" s="1"/>
  <c r="B1158" i="54" s="1"/>
  <c r="B1192" i="54" s="1"/>
  <c r="I365" i="54"/>
  <c r="B367" i="54"/>
  <c r="B419" i="54" s="1"/>
  <c r="B517" i="54" s="1"/>
  <c r="B583" i="54" s="1"/>
  <c r="B681" i="54" s="1"/>
  <c r="B729" i="54" s="1"/>
  <c r="B840" i="54" s="1"/>
  <c r="B1083" i="54" s="1"/>
  <c r="B1160" i="54" s="1"/>
  <c r="B1194" i="54" s="1"/>
  <c r="B1544" i="54" s="1"/>
  <c r="I367" i="54"/>
  <c r="B369" i="54"/>
  <c r="B421" i="54" s="1"/>
  <c r="B519" i="54" s="1"/>
  <c r="B585" i="54" s="1"/>
  <c r="B683" i="54" s="1"/>
  <c r="B731" i="54" s="1"/>
  <c r="B842" i="54" s="1"/>
  <c r="B1085" i="54" s="1"/>
  <c r="B1162" i="54" s="1"/>
  <c r="B1196" i="54" s="1"/>
  <c r="B1546" i="54" s="1"/>
  <c r="I369" i="54"/>
  <c r="F387" i="54"/>
  <c r="I387" i="54" s="1"/>
  <c r="F1585" i="54"/>
  <c r="G1585" i="54" s="1"/>
  <c r="H387" i="54"/>
  <c r="B388" i="54"/>
  <c r="I407" i="54"/>
  <c r="I505" i="54" s="1"/>
  <c r="I571" i="54" s="1"/>
  <c r="I669" i="54" s="1"/>
  <c r="I717" i="54" s="1"/>
  <c r="I828" i="54" s="1"/>
  <c r="I1071" i="54" s="1"/>
  <c r="I1148" i="54" s="1"/>
  <c r="I1182" i="54" s="1"/>
  <c r="I1534" i="54" s="1"/>
  <c r="I409" i="54"/>
  <c r="I507" i="54" s="1"/>
  <c r="I573" i="54" s="1"/>
  <c r="I671" i="54" s="1"/>
  <c r="I719" i="54" s="1"/>
  <c r="I830" i="54" s="1"/>
  <c r="I1073" i="54" s="1"/>
  <c r="I1150" i="54" s="1"/>
  <c r="I1184" i="54" s="1"/>
  <c r="I1536" i="54" s="1"/>
  <c r="I411" i="54"/>
  <c r="I509" i="54" s="1"/>
  <c r="I575" i="54" s="1"/>
  <c r="I673" i="54" s="1"/>
  <c r="I721" i="54" s="1"/>
  <c r="I832" i="54" s="1"/>
  <c r="I1075" i="54" s="1"/>
  <c r="I1152" i="54" s="1"/>
  <c r="I1186" i="54" s="1"/>
  <c r="I1538" i="54" s="1"/>
  <c r="I413" i="54"/>
  <c r="I511" i="54" s="1"/>
  <c r="I577" i="54" s="1"/>
  <c r="I675" i="54" s="1"/>
  <c r="I723" i="54" s="1"/>
  <c r="I834" i="54" s="1"/>
  <c r="I1077" i="54" s="1"/>
  <c r="I1154" i="54" s="1"/>
  <c r="I1188" i="54" s="1"/>
  <c r="I1540" i="54" s="1"/>
  <c r="I415" i="54"/>
  <c r="I513" i="54" s="1"/>
  <c r="I579" i="54" s="1"/>
  <c r="I677" i="54" s="1"/>
  <c r="I725" i="54" s="1"/>
  <c r="I836" i="54" s="1"/>
  <c r="I1079" i="54" s="1"/>
  <c r="I1156" i="54" s="1"/>
  <c r="I1190" i="54" s="1"/>
  <c r="I1542" i="54" s="1"/>
  <c r="I417" i="54"/>
  <c r="I515" i="54" s="1"/>
  <c r="I581" i="54" s="1"/>
  <c r="I679" i="54" s="1"/>
  <c r="I727" i="54" s="1"/>
  <c r="I838" i="54" s="1"/>
  <c r="I1081" i="54" s="1"/>
  <c r="I1158" i="54" s="1"/>
  <c r="I1192" i="54" s="1"/>
  <c r="I419" i="54"/>
  <c r="I517" i="54" s="1"/>
  <c r="I583" i="54" s="1"/>
  <c r="I681" i="54" s="1"/>
  <c r="I729" i="54" s="1"/>
  <c r="I840" i="54" s="1"/>
  <c r="I1083" i="54" s="1"/>
  <c r="I1160" i="54" s="1"/>
  <c r="I1194" i="54" s="1"/>
  <c r="I1544" i="54" s="1"/>
  <c r="I421" i="54"/>
  <c r="I519" i="54" s="1"/>
  <c r="I585" i="54" s="1"/>
  <c r="I683" i="54" s="1"/>
  <c r="I731" i="54" s="1"/>
  <c r="I842" i="54" s="1"/>
  <c r="I1085" i="54" s="1"/>
  <c r="I1162" i="54" s="1"/>
  <c r="I1196" i="54" s="1"/>
  <c r="I1546" i="54" s="1"/>
  <c r="B423" i="54"/>
  <c r="B587" i="54" s="1"/>
  <c r="B844" i="54" s="1"/>
  <c r="I423" i="54"/>
  <c r="I587" i="54" s="1"/>
  <c r="B425" i="54"/>
  <c r="B589" i="54" s="1"/>
  <c r="B846" i="54" s="1"/>
  <c r="I425" i="54"/>
  <c r="I589" i="54" s="1"/>
  <c r="I846" i="54" s="1"/>
  <c r="B427" i="54"/>
  <c r="B591" i="54" s="1"/>
  <c r="I427" i="54"/>
  <c r="I591" i="54" s="1"/>
  <c r="B429" i="54"/>
  <c r="B593" i="54" s="1"/>
  <c r="B850" i="54" s="1"/>
  <c r="I429" i="54"/>
  <c r="I593" i="54" s="1"/>
  <c r="I850" i="54" s="1"/>
  <c r="B431" i="54"/>
  <c r="B595" i="54" s="1"/>
  <c r="B852" i="54" s="1"/>
  <c r="I431" i="54"/>
  <c r="I595" i="54" s="1"/>
  <c r="B433" i="54"/>
  <c r="B597" i="54" s="1"/>
  <c r="B854" i="54" s="1"/>
  <c r="I433" i="54"/>
  <c r="I597" i="54" s="1"/>
  <c r="I854" i="54" s="1"/>
  <c r="B435" i="54"/>
  <c r="B599" i="54" s="1"/>
  <c r="B856" i="54" s="1"/>
  <c r="I435" i="54"/>
  <c r="I599" i="54" s="1"/>
  <c r="B437" i="54"/>
  <c r="B601" i="54" s="1"/>
  <c r="B858" i="54" s="1"/>
  <c r="I437" i="54"/>
  <c r="I601" i="54" s="1"/>
  <c r="F485" i="54"/>
  <c r="I485" i="54" s="1"/>
  <c r="H485" i="54"/>
  <c r="B486" i="54"/>
  <c r="B667" i="54"/>
  <c r="B826" i="54" s="1"/>
  <c r="B976" i="54" s="1"/>
  <c r="B1033" i="54" s="1"/>
  <c r="B1069" i="54" s="1"/>
  <c r="I667" i="54"/>
  <c r="I826" i="54" s="1"/>
  <c r="B521" i="54"/>
  <c r="B603" i="54" s="1"/>
  <c r="B685" i="54" s="1"/>
  <c r="B876" i="54" s="1"/>
  <c r="B1548" i="54" s="1"/>
  <c r="B523" i="54"/>
  <c r="B605" i="54" s="1"/>
  <c r="B687" i="54" s="1"/>
  <c r="B878" i="54" s="1"/>
  <c r="B1550" i="54" s="1"/>
  <c r="B525" i="54"/>
  <c r="B607" i="54" s="1"/>
  <c r="B689" i="54" s="1"/>
  <c r="B880" i="54" s="1"/>
  <c r="B1552" i="54" s="1"/>
  <c r="B527" i="54"/>
  <c r="B609" i="54" s="1"/>
  <c r="B691" i="54" s="1"/>
  <c r="B882" i="54" s="1"/>
  <c r="B1554" i="54" s="1"/>
  <c r="B529" i="54"/>
  <c r="B611" i="54" s="1"/>
  <c r="B693" i="54" s="1"/>
  <c r="B884" i="54" s="1"/>
  <c r="B1556" i="54" s="1"/>
  <c r="B531" i="54"/>
  <c r="B613" i="54" s="1"/>
  <c r="B695" i="54" s="1"/>
  <c r="B886" i="54" s="1"/>
  <c r="B1558" i="54" s="1"/>
  <c r="B533" i="54"/>
  <c r="B615" i="54" s="1"/>
  <c r="B697" i="54" s="1"/>
  <c r="B888" i="54" s="1"/>
  <c r="B1560" i="54" s="1"/>
  <c r="F551" i="54"/>
  <c r="I551" i="54" s="1"/>
  <c r="H551" i="54"/>
  <c r="B552" i="54"/>
  <c r="B555" i="54"/>
  <c r="B653" i="54" s="1"/>
  <c r="B753" i="54" s="1"/>
  <c r="B810" i="54" s="1"/>
  <c r="B944" i="54" s="1"/>
  <c r="B962" i="54" s="1"/>
  <c r="B1023" i="54" s="1"/>
  <c r="B557" i="54"/>
  <c r="B655" i="54" s="1"/>
  <c r="B755" i="54" s="1"/>
  <c r="B812" i="54" s="1"/>
  <c r="B946" i="54" s="1"/>
  <c r="B964" i="54" s="1"/>
  <c r="B1025" i="54" s="1"/>
  <c r="B559" i="54"/>
  <c r="B657" i="54" s="1"/>
  <c r="B757" i="54" s="1"/>
  <c r="B814" i="54" s="1"/>
  <c r="B948" i="54" s="1"/>
  <c r="B966" i="54" s="1"/>
  <c r="B1027" i="54" s="1"/>
  <c r="B561" i="54"/>
  <c r="B659" i="54" s="1"/>
  <c r="B759" i="54" s="1"/>
  <c r="B816" i="54" s="1"/>
  <c r="B950" i="54" s="1"/>
  <c r="B968" i="54" s="1"/>
  <c r="B1029" i="54" s="1"/>
  <c r="B563" i="54"/>
  <c r="B661" i="54" s="1"/>
  <c r="B761" i="54" s="1"/>
  <c r="B818" i="54" s="1"/>
  <c r="B952" i="54" s="1"/>
  <c r="B970" i="54" s="1"/>
  <c r="B1063" i="54" s="1"/>
  <c r="B1530" i="54" s="1"/>
  <c r="B565" i="54"/>
  <c r="B663" i="54" s="1"/>
  <c r="B763" i="54" s="1"/>
  <c r="B820" i="54" s="1"/>
  <c r="B954" i="54" s="1"/>
  <c r="B972" i="54" s="1"/>
  <c r="B1065" i="54" s="1"/>
  <c r="B1532" i="54" s="1"/>
  <c r="B567" i="54"/>
  <c r="B665" i="54" s="1"/>
  <c r="B765" i="54" s="1"/>
  <c r="B822" i="54" s="1"/>
  <c r="B956" i="54" s="1"/>
  <c r="B974" i="54" s="1"/>
  <c r="F649" i="54"/>
  <c r="I649" i="54" s="1"/>
  <c r="H649" i="54"/>
  <c r="B650" i="54"/>
  <c r="F715" i="54"/>
  <c r="I715" i="54" s="1"/>
  <c r="H715" i="54"/>
  <c r="B716" i="54"/>
  <c r="F749" i="54"/>
  <c r="I749" i="54" s="1"/>
  <c r="H749" i="54"/>
  <c r="B750" i="54"/>
  <c r="F767" i="54"/>
  <c r="I767" i="54" s="1"/>
  <c r="G767" i="54"/>
  <c r="H767" i="54"/>
  <c r="B769" i="54"/>
  <c r="F772" i="54"/>
  <c r="I772" i="54" s="1"/>
  <c r="G772" i="54"/>
  <c r="F1615" i="54" s="1"/>
  <c r="G1615" i="54" s="1"/>
  <c r="H772" i="54"/>
  <c r="B807" i="54"/>
  <c r="F824" i="54"/>
  <c r="I824" i="54" s="1"/>
  <c r="G824" i="54"/>
  <c r="F1599" i="54" s="1"/>
  <c r="G1599" i="54" s="1"/>
  <c r="H824" i="54"/>
  <c r="B825" i="54"/>
  <c r="F906" i="54"/>
  <c r="I906" i="54" s="1"/>
  <c r="F1601" i="54"/>
  <c r="G1601" i="54" s="1"/>
  <c r="H906" i="54"/>
  <c r="B911" i="54"/>
  <c r="F914" i="54"/>
  <c r="I914" i="54" s="1"/>
  <c r="H914" i="54"/>
  <c r="B939" i="54"/>
  <c r="B940" i="54"/>
  <c r="G940" i="54"/>
  <c r="G942" i="54"/>
  <c r="G960" i="54" s="1"/>
  <c r="G944" i="54"/>
  <c r="G962" i="54" s="1"/>
  <c r="G946" i="54"/>
  <c r="G964" i="54" s="1"/>
  <c r="G948" i="54"/>
  <c r="G966" i="54" s="1"/>
  <c r="G950" i="54"/>
  <c r="G968" i="54" s="1"/>
  <c r="G952" i="54"/>
  <c r="G970" i="54" s="1"/>
  <c r="G954" i="54"/>
  <c r="G972" i="54" s="1"/>
  <c r="G956" i="54"/>
  <c r="G974" i="54" s="1"/>
  <c r="F958" i="54"/>
  <c r="I958" i="54" s="1"/>
  <c r="H958" i="54"/>
  <c r="B959" i="54"/>
  <c r="G976" i="54"/>
  <c r="G978" i="54"/>
  <c r="G980" i="54"/>
  <c r="G982" i="54"/>
  <c r="G984" i="54"/>
  <c r="G986" i="54"/>
  <c r="G988" i="54"/>
  <c r="G990" i="54"/>
  <c r="G992" i="54"/>
  <c r="F1010" i="54"/>
  <c r="I1010" i="54" s="1"/>
  <c r="H1010" i="54"/>
  <c r="B1012" i="54"/>
  <c r="F1015" i="54"/>
  <c r="I1015" i="54" s="1"/>
  <c r="B1020" i="54"/>
  <c r="F1051" i="54"/>
  <c r="I1051" i="54" s="1"/>
  <c r="H1051" i="54"/>
  <c r="B1052" i="54"/>
  <c r="F1135" i="54"/>
  <c r="I1135" i="54" s="1"/>
  <c r="H1135" i="54"/>
  <c r="B1147" i="54"/>
  <c r="F1180" i="54"/>
  <c r="I1180" i="54" s="1"/>
  <c r="F1621" i="54"/>
  <c r="H1180" i="54"/>
  <c r="B1181" i="54"/>
  <c r="G1182" i="54"/>
  <c r="G1184" i="54"/>
  <c r="G1186" i="54"/>
  <c r="G1188" i="54"/>
  <c r="G1190" i="54"/>
  <c r="G1192" i="54"/>
  <c r="G1194" i="54"/>
  <c r="G1196" i="54"/>
  <c r="F1214" i="54"/>
  <c r="I1214" i="54" s="1"/>
  <c r="B1234" i="54"/>
  <c r="F1251" i="54"/>
  <c r="I1251" i="54" s="1"/>
  <c r="H1251" i="54"/>
  <c r="B1252" i="54"/>
  <c r="F1269" i="54"/>
  <c r="I1269" i="54" s="1"/>
  <c r="H1269" i="54"/>
  <c r="G1311" i="54"/>
  <c r="G1313" i="54" s="1"/>
  <c r="F1313" i="54"/>
  <c r="B1315" i="54"/>
  <c r="F1332" i="54"/>
  <c r="I1332" i="54" s="1"/>
  <c r="B1353" i="54"/>
  <c r="F1390" i="54"/>
  <c r="I1390" i="54" s="1"/>
  <c r="F1609" i="54"/>
  <c r="G1609" i="54" s="1"/>
  <c r="B1521" i="54"/>
  <c r="F1578" i="54"/>
  <c r="I1578" i="54" s="1"/>
  <c r="H1578" i="54"/>
  <c r="B1579" i="54"/>
  <c r="F1582" i="54"/>
  <c r="I1582" i="54" s="1"/>
  <c r="H1582" i="54"/>
  <c r="B1584" i="54"/>
  <c r="F1605" i="54"/>
  <c r="G1605" i="54" s="1"/>
  <c r="B1612" i="54"/>
  <c r="C1619" i="54"/>
  <c r="C1621" i="54" s="1"/>
  <c r="F1623" i="54"/>
  <c r="G1623" i="54" s="1"/>
  <c r="C1625" i="54"/>
  <c r="C1627" i="54" s="1"/>
  <c r="F1625" i="54"/>
  <c r="B1630" i="54"/>
  <c r="I1631" i="54"/>
  <c r="G1637" i="54"/>
  <c r="F145" i="55" s="1"/>
  <c r="G1640" i="54"/>
  <c r="F147" i="55" s="1"/>
  <c r="B1642" i="54"/>
  <c r="B1645" i="54"/>
  <c r="B1651" i="54"/>
  <c r="B1654" i="54"/>
  <c r="B1660" i="54"/>
  <c r="B1669" i="54"/>
  <c r="F1595" i="54"/>
  <c r="B1672" i="54"/>
  <c r="F83" i="55" l="1"/>
  <c r="F79" i="55"/>
  <c r="F129" i="55"/>
  <c r="F119" i="55"/>
  <c r="F131" i="55"/>
  <c r="G18" i="54"/>
  <c r="G20" i="54" s="1"/>
  <c r="G22" i="54" s="1"/>
  <c r="G24" i="54" s="1"/>
  <c r="G26" i="54" s="1"/>
  <c r="F93" i="55"/>
  <c r="F41" i="55"/>
  <c r="G1309" i="54"/>
  <c r="B1031" i="54"/>
  <c r="B1067" i="54"/>
  <c r="I567" i="54"/>
  <c r="I665" i="54" s="1"/>
  <c r="I765" i="54" s="1"/>
  <c r="I822" i="54" s="1"/>
  <c r="I956" i="54" s="1"/>
  <c r="I974" i="54" s="1"/>
  <c r="I1031" i="54" s="1"/>
  <c r="I501" i="54"/>
  <c r="F111" i="55"/>
  <c r="I563" i="54"/>
  <c r="I661" i="54" s="1"/>
  <c r="I761" i="54" s="1"/>
  <c r="I818" i="54" s="1"/>
  <c r="I952" i="54" s="1"/>
  <c r="I970" i="54" s="1"/>
  <c r="I497" i="54"/>
  <c r="G1214" i="54"/>
  <c r="I565" i="54"/>
  <c r="I663" i="54" s="1"/>
  <c r="I763" i="54" s="1"/>
  <c r="I820" i="54" s="1"/>
  <c r="I954" i="54" s="1"/>
  <c r="I972" i="54" s="1"/>
  <c r="I499" i="54"/>
  <c r="C93" i="53"/>
  <c r="B76" i="53"/>
  <c r="I555" i="54"/>
  <c r="I653" i="54" s="1"/>
  <c r="I753" i="54" s="1"/>
  <c r="I810" i="54" s="1"/>
  <c r="I944" i="54" s="1"/>
  <c r="I962" i="54" s="1"/>
  <c r="I489" i="54"/>
  <c r="I557" i="54"/>
  <c r="I655" i="54" s="1"/>
  <c r="I755" i="54" s="1"/>
  <c r="I812" i="54" s="1"/>
  <c r="I946" i="54" s="1"/>
  <c r="I964" i="54" s="1"/>
  <c r="I1025" i="54" s="1"/>
  <c r="I491" i="54"/>
  <c r="B553" i="54"/>
  <c r="B651" i="54" s="1"/>
  <c r="B751" i="54" s="1"/>
  <c r="B808" i="54" s="1"/>
  <c r="B942" i="54" s="1"/>
  <c r="B960" i="54" s="1"/>
  <c r="B1021" i="54" s="1"/>
  <c r="B487" i="54"/>
  <c r="I559" i="54"/>
  <c r="I657" i="54" s="1"/>
  <c r="I757" i="54" s="1"/>
  <c r="I814" i="54" s="1"/>
  <c r="I948" i="54" s="1"/>
  <c r="I966" i="54" s="1"/>
  <c r="I493" i="54"/>
  <c r="I561" i="54"/>
  <c r="I659" i="54" s="1"/>
  <c r="I759" i="54" s="1"/>
  <c r="I816" i="54" s="1"/>
  <c r="I950" i="54" s="1"/>
  <c r="I968" i="54" s="1"/>
  <c r="I1029" i="54" s="1"/>
  <c r="I495" i="54"/>
  <c r="I553" i="54"/>
  <c r="I651" i="54" s="1"/>
  <c r="I751" i="54" s="1"/>
  <c r="I808" i="54" s="1"/>
  <c r="I487" i="54"/>
  <c r="D76" i="53"/>
  <c r="H76" i="53" s="1"/>
  <c r="D92" i="53"/>
  <c r="H92" i="53" s="1"/>
  <c r="I858" i="54"/>
  <c r="I992" i="54" s="1"/>
  <c r="I856" i="54"/>
  <c r="I990" i="54" s="1"/>
  <c r="I852" i="54"/>
  <c r="I986" i="54" s="1"/>
  <c r="B848" i="54"/>
  <c r="B982" i="54" s="1"/>
  <c r="I844" i="54"/>
  <c r="I978" i="54" s="1"/>
  <c r="I848" i="54"/>
  <c r="I982" i="54" s="1"/>
  <c r="F1597" i="54"/>
  <c r="G1597" i="54" s="1"/>
  <c r="F39" i="55"/>
  <c r="B93" i="53"/>
  <c r="C91" i="53"/>
  <c r="B14" i="53"/>
  <c r="B80" i="53"/>
  <c r="D80" i="53"/>
  <c r="H80" i="53" s="1"/>
  <c r="B92" i="53"/>
  <c r="C54" i="53"/>
  <c r="D14" i="53"/>
  <c r="H14" i="53" s="1"/>
  <c r="F1603" i="54"/>
  <c r="G1603" i="54" s="1"/>
  <c r="B60" i="53"/>
  <c r="B91" i="53"/>
  <c r="F1591" i="54"/>
  <c r="G1591" i="54" s="1"/>
  <c r="F1587" i="54"/>
  <c r="F47" i="55"/>
  <c r="B54" i="53"/>
  <c r="F91" i="55"/>
  <c r="E91" i="55" s="1"/>
  <c r="F17" i="55"/>
  <c r="F45" i="55"/>
  <c r="F113" i="55"/>
  <c r="E113" i="55" s="1"/>
  <c r="F51" i="55"/>
  <c r="F73" i="55"/>
  <c r="F85" i="55"/>
  <c r="E60" i="53" s="1"/>
  <c r="G60" i="53" s="1"/>
  <c r="F127" i="55"/>
  <c r="F123" i="55"/>
  <c r="F35" i="55"/>
  <c r="F49" i="55"/>
  <c r="F53" i="55"/>
  <c r="F105" i="55"/>
  <c r="G1010" i="54"/>
  <c r="C60" i="53"/>
  <c r="F101" i="55"/>
  <c r="F33" i="55"/>
  <c r="F43" i="55"/>
  <c r="F125" i="55"/>
  <c r="G1595" i="54"/>
  <c r="G914" i="54"/>
  <c r="G1621" i="54"/>
  <c r="G1625" i="54"/>
  <c r="F1617" i="54"/>
  <c r="G1617" i="54" s="1"/>
  <c r="B1091" i="54"/>
  <c r="I980" i="54"/>
  <c r="I1089" i="54"/>
  <c r="B1055" i="54"/>
  <c r="B1522" i="54"/>
  <c r="G87" i="54"/>
  <c r="G89" i="54" s="1"/>
  <c r="G91" i="54" s="1"/>
  <c r="F1627" i="54"/>
  <c r="G1627" i="54" s="1"/>
  <c r="G352" i="54"/>
  <c r="F55" i="55" s="1"/>
  <c r="B1099" i="54"/>
  <c r="B990" i="54"/>
  <c r="I1097" i="54"/>
  <c r="I988" i="54"/>
  <c r="B1095" i="54"/>
  <c r="B986" i="54"/>
  <c r="B992" i="54"/>
  <c r="B1101" i="54"/>
  <c r="B988" i="54"/>
  <c r="B1097" i="54"/>
  <c r="I984" i="54"/>
  <c r="I1093" i="54"/>
  <c r="B984" i="54"/>
  <c r="B1093" i="54"/>
  <c r="B980" i="54"/>
  <c r="B1089" i="54"/>
  <c r="B1526" i="54"/>
  <c r="B1059" i="54"/>
  <c r="I1065" i="54"/>
  <c r="I1532" i="54" s="1"/>
  <c r="F1619" i="54"/>
  <c r="G1619" i="54" s="1"/>
  <c r="I1091" i="54"/>
  <c r="I1087" i="54"/>
  <c r="F1589" i="54"/>
  <c r="G1589" i="54" s="1"/>
  <c r="B1057" i="54"/>
  <c r="B1524" i="54"/>
  <c r="B1053" i="54"/>
  <c r="B1061" i="54"/>
  <c r="B1528" i="54"/>
  <c r="I976" i="54"/>
  <c r="I1033" i="54" s="1"/>
  <c r="I1069" i="54" s="1"/>
  <c r="I912" i="54"/>
  <c r="I1101" i="54"/>
  <c r="B978" i="54"/>
  <c r="B1087" i="54"/>
  <c r="F1593" i="54"/>
  <c r="G1593" i="54" s="1"/>
  <c r="G69" i="54"/>
  <c r="G958" i="54"/>
  <c r="B65" i="53"/>
  <c r="D65" i="53"/>
  <c r="H65" i="53" s="1"/>
  <c r="C65" i="53"/>
  <c r="E119" i="55" l="1"/>
  <c r="E87" i="53"/>
  <c r="G87" i="53" s="1"/>
  <c r="G88" i="53" s="1"/>
  <c r="H22" i="52" s="1"/>
  <c r="E129" i="55"/>
  <c r="E96" i="53"/>
  <c r="G96" i="53" s="1"/>
  <c r="F9" i="55"/>
  <c r="E79" i="55"/>
  <c r="E57" i="53"/>
  <c r="G57" i="53" s="1"/>
  <c r="I942" i="54"/>
  <c r="I960" i="54" s="1"/>
  <c r="I1021" i="54" s="1"/>
  <c r="I1279" i="54"/>
  <c r="I1378" i="54" s="1"/>
  <c r="I1416" i="54" s="1"/>
  <c r="E131" i="55"/>
  <c r="E97" i="53"/>
  <c r="G97" i="53" s="1"/>
  <c r="E83" i="55"/>
  <c r="E59" i="53"/>
  <c r="G59" i="53" s="1"/>
  <c r="E93" i="55"/>
  <c r="E66" i="53"/>
  <c r="G66" i="53" s="1"/>
  <c r="I1095" i="54"/>
  <c r="E41" i="55"/>
  <c r="E32" i="53"/>
  <c r="G32" i="53" s="1"/>
  <c r="I1055" i="54"/>
  <c r="I1522" i="54" s="1"/>
  <c r="I1023" i="54"/>
  <c r="E111" i="55"/>
  <c r="E79" i="53"/>
  <c r="G79" i="53" s="1"/>
  <c r="I1027" i="54"/>
  <c r="I1059" i="54"/>
  <c r="I1526" i="54" s="1"/>
  <c r="I1063" i="54"/>
  <c r="I1530" i="54" s="1"/>
  <c r="I1099" i="54"/>
  <c r="I1057" i="54"/>
  <c r="I1524" i="54" s="1"/>
  <c r="I1061" i="54"/>
  <c r="I1528" i="54" s="1"/>
  <c r="I1053" i="54"/>
  <c r="I1067" i="54"/>
  <c r="E39" i="55"/>
  <c r="E31" i="53"/>
  <c r="G31" i="53" s="1"/>
  <c r="E80" i="53"/>
  <c r="G80" i="53" s="1"/>
  <c r="E85" i="55"/>
  <c r="E76" i="53"/>
  <c r="G76" i="53" s="1"/>
  <c r="E105" i="55"/>
  <c r="E54" i="53"/>
  <c r="G54" i="53" s="1"/>
  <c r="E73" i="55"/>
  <c r="E47" i="55"/>
  <c r="E37" i="53"/>
  <c r="G37" i="53" s="1"/>
  <c r="E91" i="53"/>
  <c r="G91" i="53" s="1"/>
  <c r="E123" i="55"/>
  <c r="E17" i="55"/>
  <c r="E14" i="53"/>
  <c r="G14" i="53" s="1"/>
  <c r="E92" i="53"/>
  <c r="G92" i="53" s="1"/>
  <c r="E125" i="55"/>
  <c r="E93" i="53"/>
  <c r="G93" i="53" s="1"/>
  <c r="E127" i="55"/>
  <c r="G93" i="54"/>
  <c r="D97" i="54" s="1"/>
  <c r="G97" i="54" s="1"/>
  <c r="G99" i="54" s="1"/>
  <c r="G1587" i="54"/>
  <c r="G1611" i="54" s="1"/>
  <c r="F1613" i="54"/>
  <c r="E65" i="53"/>
  <c r="G65" i="53" s="1"/>
  <c r="D72" i="53"/>
  <c r="D27" i="53"/>
  <c r="D24" i="53"/>
  <c r="C72" i="53"/>
  <c r="C27" i="53"/>
  <c r="C24" i="53"/>
  <c r="B72" i="53"/>
  <c r="B27" i="53"/>
  <c r="B24" i="53"/>
  <c r="G99" i="53" l="1"/>
  <c r="H28" i="52" s="1"/>
  <c r="G33" i="53"/>
  <c r="H11" i="52" s="1"/>
  <c r="G95" i="54"/>
  <c r="D101" i="54"/>
  <c r="G101" i="54" s="1"/>
  <c r="G105" i="54" s="1"/>
  <c r="F29" i="55" s="1"/>
  <c r="G1613" i="54"/>
  <c r="G1629" i="54" s="1"/>
  <c r="F1631" i="54"/>
  <c r="A95" i="55"/>
  <c r="A15" i="55"/>
  <c r="G1631" i="54" l="1"/>
  <c r="G1633" i="54" s="1"/>
  <c r="D107" i="54"/>
  <c r="G107" i="54" s="1"/>
  <c r="G111" i="54" s="1"/>
  <c r="F31" i="55" s="1"/>
  <c r="A13" i="53"/>
  <c r="B13" i="53" s="1"/>
  <c r="F15" i="55"/>
  <c r="E15" i="55" s="1"/>
  <c r="A67" i="53"/>
  <c r="D67" i="53" s="1"/>
  <c r="H67" i="53" s="1"/>
  <c r="F95" i="55"/>
  <c r="D37" i="52"/>
  <c r="A75" i="53"/>
  <c r="J35" i="52"/>
  <c r="P35" i="52" s="1"/>
  <c r="I35" i="52"/>
  <c r="G35" i="52" s="1"/>
  <c r="H110" i="53"/>
  <c r="B111" i="53"/>
  <c r="B110" i="53"/>
  <c r="A109" i="53"/>
  <c r="H111" i="53"/>
  <c r="A147" i="55"/>
  <c r="A111" i="53" s="1"/>
  <c r="A145" i="55"/>
  <c r="A110" i="53" s="1"/>
  <c r="C13" i="53" l="1"/>
  <c r="D13" i="53"/>
  <c r="H13" i="53" s="1"/>
  <c r="E95" i="55"/>
  <c r="E67" i="53"/>
  <c r="B67" i="53"/>
  <c r="C67" i="53"/>
  <c r="E13" i="53"/>
  <c r="L35" i="52"/>
  <c r="O35" i="52" s="1"/>
  <c r="E147" i="55"/>
  <c r="E111" i="53"/>
  <c r="G111" i="53" s="1"/>
  <c r="E145" i="55"/>
  <c r="E110" i="53"/>
  <c r="G110" i="53" s="1"/>
  <c r="N35" i="52"/>
  <c r="H112" i="53"/>
  <c r="C2" i="55"/>
  <c r="H81" i="53"/>
  <c r="B81" i="53"/>
  <c r="A169" i="55"/>
  <c r="A167" i="55"/>
  <c r="A161" i="55"/>
  <c r="A157" i="55"/>
  <c r="A155" i="55"/>
  <c r="A151" i="55"/>
  <c r="A149" i="55"/>
  <c r="A115" i="55"/>
  <c r="A143" i="55"/>
  <c r="A141" i="55"/>
  <c r="F1" i="53"/>
  <c r="G13" i="53" l="1"/>
  <c r="A117" i="53"/>
  <c r="D117" i="53" s="1"/>
  <c r="A81" i="53"/>
  <c r="F115" i="55"/>
  <c r="A118" i="53"/>
  <c r="B118" i="53" s="1"/>
  <c r="A107" i="53"/>
  <c r="C107" i="53" s="1"/>
  <c r="A114" i="53"/>
  <c r="C114" i="53" s="1"/>
  <c r="A120" i="53"/>
  <c r="D120" i="53" s="1"/>
  <c r="A124" i="53"/>
  <c r="B124" i="53" s="1"/>
  <c r="A106" i="53"/>
  <c r="D106" i="53" s="1"/>
  <c r="A115" i="53"/>
  <c r="B115" i="53" s="1"/>
  <c r="A123" i="53"/>
  <c r="D123" i="53" s="1"/>
  <c r="H123" i="53" s="1"/>
  <c r="C118" i="53"/>
  <c r="C117" i="53"/>
  <c r="M35" i="52"/>
  <c r="G112" i="53"/>
  <c r="H35" i="52" s="1"/>
  <c r="K35" i="52" s="1"/>
  <c r="B117" i="53" l="1"/>
  <c r="D114" i="53"/>
  <c r="B114" i="53"/>
  <c r="C115" i="53"/>
  <c r="D115" i="53"/>
  <c r="B120" i="53"/>
  <c r="C124" i="53"/>
  <c r="D124" i="53"/>
  <c r="H124" i="53" s="1"/>
  <c r="D118" i="53"/>
  <c r="C123" i="53"/>
  <c r="C120" i="53"/>
  <c r="B123" i="53"/>
  <c r="C106" i="53"/>
  <c r="B106" i="53"/>
  <c r="D107" i="53"/>
  <c r="B107" i="53"/>
  <c r="F35" i="52"/>
  <c r="A139" i="55" l="1"/>
  <c r="A137" i="55"/>
  <c r="A135" i="55"/>
  <c r="A121" i="55"/>
  <c r="A117" i="55"/>
  <c r="A109" i="55"/>
  <c r="A107" i="55"/>
  <c r="A103" i="55"/>
  <c r="A97" i="55"/>
  <c r="A89" i="55"/>
  <c r="A87" i="55"/>
  <c r="A81" i="55"/>
  <c r="F81" i="55" s="1"/>
  <c r="A77" i="55"/>
  <c r="F77" i="55" s="1"/>
  <c r="A75" i="55"/>
  <c r="F75" i="55" s="1"/>
  <c r="A71" i="55"/>
  <c r="F71" i="55" s="1"/>
  <c r="A69" i="55"/>
  <c r="F69" i="55" s="1"/>
  <c r="A67" i="55"/>
  <c r="F67" i="55" s="1"/>
  <c r="A65" i="55"/>
  <c r="F65" i="55" s="1"/>
  <c r="A63" i="55"/>
  <c r="F63" i="55" s="1"/>
  <c r="A61" i="55"/>
  <c r="F61" i="55" s="1"/>
  <c r="A59" i="55"/>
  <c r="F59" i="55" s="1"/>
  <c r="A57" i="55"/>
  <c r="F57" i="55" s="1"/>
  <c r="A27" i="55"/>
  <c r="F27" i="55" s="1"/>
  <c r="A25" i="55"/>
  <c r="F25" i="55" s="1"/>
  <c r="A23" i="55"/>
  <c r="F23" i="55" s="1"/>
  <c r="A21" i="55"/>
  <c r="F21" i="55" s="1"/>
  <c r="A19" i="55"/>
  <c r="F19" i="55" s="1"/>
  <c r="A13" i="55"/>
  <c r="F13" i="55" s="1"/>
  <c r="A11" i="55"/>
  <c r="F11" i="55" s="1"/>
  <c r="E11" i="53" s="1"/>
  <c r="A9" i="55"/>
  <c r="A73" i="53" l="1"/>
  <c r="F103" i="55"/>
  <c r="A90" i="53"/>
  <c r="D90" i="53" s="1"/>
  <c r="F121" i="55"/>
  <c r="A61" i="53"/>
  <c r="F87" i="55"/>
  <c r="A77" i="53"/>
  <c r="B77" i="53" s="1"/>
  <c r="F107" i="55"/>
  <c r="A101" i="53"/>
  <c r="A62" i="53"/>
  <c r="C62" i="53" s="1"/>
  <c r="F89" i="55"/>
  <c r="E62" i="53" s="1"/>
  <c r="A78" i="53"/>
  <c r="C78" i="53" s="1"/>
  <c r="F109" i="55"/>
  <c r="A102" i="53"/>
  <c r="B102" i="53" s="1"/>
  <c r="A68" i="53"/>
  <c r="C68" i="53" s="1"/>
  <c r="F97" i="55"/>
  <c r="A84" i="53"/>
  <c r="F117" i="55"/>
  <c r="A105" i="53"/>
  <c r="D105" i="53" s="1"/>
  <c r="C73" i="53"/>
  <c r="B73" i="53"/>
  <c r="D73" i="53"/>
  <c r="C90" i="53"/>
  <c r="B90" i="53"/>
  <c r="B101" i="53"/>
  <c r="D101" i="53"/>
  <c r="C101" i="53"/>
  <c r="D84" i="53"/>
  <c r="B84" i="53"/>
  <c r="C84" i="53"/>
  <c r="B61" i="53"/>
  <c r="D61" i="53"/>
  <c r="H61" i="53" s="1"/>
  <c r="C61" i="53"/>
  <c r="D68" i="53"/>
  <c r="E56" i="53"/>
  <c r="E49" i="53"/>
  <c r="B68" i="53" l="1"/>
  <c r="C77" i="53"/>
  <c r="D77" i="53"/>
  <c r="B62" i="53"/>
  <c r="D62" i="53"/>
  <c r="G62" i="53" s="1"/>
  <c r="D78" i="53"/>
  <c r="C105" i="53"/>
  <c r="B105" i="53"/>
  <c r="C102" i="53"/>
  <c r="D102" i="53"/>
  <c r="B78" i="53"/>
  <c r="E18" i="53"/>
  <c r="E17" i="53"/>
  <c r="A58" i="53"/>
  <c r="A56" i="53"/>
  <c r="A55" i="53"/>
  <c r="A53" i="53"/>
  <c r="A50" i="53"/>
  <c r="A49" i="53"/>
  <c r="A48" i="53"/>
  <c r="A47" i="53"/>
  <c r="A46" i="53"/>
  <c r="A45" i="53"/>
  <c r="A44" i="53"/>
  <c r="A41" i="53"/>
  <c r="A40" i="53"/>
  <c r="A39" i="53"/>
  <c r="A38" i="53"/>
  <c r="A36" i="53"/>
  <c r="A35" i="53"/>
  <c r="B10" i="53"/>
  <c r="A11" i="53"/>
  <c r="A12" i="53"/>
  <c r="A10" i="53"/>
  <c r="H62" i="53" l="1"/>
  <c r="B41" i="53"/>
  <c r="D41" i="53"/>
  <c r="C41" i="53"/>
  <c r="B38" i="53"/>
  <c r="C38" i="53"/>
  <c r="D38" i="53"/>
  <c r="B39" i="53"/>
  <c r="C39" i="53"/>
  <c r="D39" i="53"/>
  <c r="B36" i="53"/>
  <c r="D36" i="53"/>
  <c r="C36" i="53"/>
  <c r="B35" i="53"/>
  <c r="C35" i="53"/>
  <c r="D35" i="53"/>
  <c r="B40" i="53"/>
  <c r="D40" i="53"/>
  <c r="C40" i="53"/>
  <c r="D44" i="53"/>
  <c r="C44" i="53"/>
  <c r="B44" i="53"/>
  <c r="D46" i="53"/>
  <c r="B46" i="53"/>
  <c r="C46" i="53"/>
  <c r="B50" i="53"/>
  <c r="D50" i="53"/>
  <c r="C50" i="53"/>
  <c r="D58" i="53"/>
  <c r="B58" i="53"/>
  <c r="C58" i="53"/>
  <c r="B12" i="53"/>
  <c r="D12" i="53"/>
  <c r="C12" i="53"/>
  <c r="B47" i="53"/>
  <c r="D47" i="53"/>
  <c r="C47" i="53"/>
  <c r="C53" i="53"/>
  <c r="D53" i="53"/>
  <c r="B53" i="53"/>
  <c r="B11" i="53"/>
  <c r="C11" i="53"/>
  <c r="D11" i="53"/>
  <c r="D48" i="53"/>
  <c r="C48" i="53"/>
  <c r="B48" i="53"/>
  <c r="D55" i="53"/>
  <c r="C55" i="53"/>
  <c r="B55" i="53"/>
  <c r="C45" i="53"/>
  <c r="B45" i="53"/>
  <c r="D45" i="53"/>
  <c r="D49" i="53"/>
  <c r="C49" i="53"/>
  <c r="B49" i="53"/>
  <c r="D56" i="53"/>
  <c r="C56" i="53"/>
  <c r="B56" i="53"/>
  <c r="E50" i="53" l="1"/>
  <c r="J36" i="52"/>
  <c r="J12" i="52"/>
  <c r="J13" i="52"/>
  <c r="J14" i="52"/>
  <c r="J15" i="52"/>
  <c r="J16" i="52"/>
  <c r="J17" i="52"/>
  <c r="J18" i="52"/>
  <c r="J19" i="52"/>
  <c r="J20" i="52"/>
  <c r="J21" i="52"/>
  <c r="J22" i="52"/>
  <c r="J23" i="52"/>
  <c r="J24" i="52"/>
  <c r="J25" i="52"/>
  <c r="J26" i="52"/>
  <c r="J27" i="52"/>
  <c r="J28" i="52"/>
  <c r="J29" i="52"/>
  <c r="J30" i="52"/>
  <c r="J31" i="52"/>
  <c r="J32" i="52"/>
  <c r="J33" i="52"/>
  <c r="J34" i="52"/>
  <c r="J9" i="52"/>
  <c r="J10" i="52"/>
  <c r="J11" i="52"/>
  <c r="J7" i="52"/>
  <c r="E115" i="55" l="1"/>
  <c r="E81" i="53"/>
  <c r="G81" i="53" s="1"/>
  <c r="H24" i="53"/>
  <c r="E41" i="53" l="1"/>
  <c r="G41" i="53" s="1"/>
  <c r="E36" i="53"/>
  <c r="E46" i="53" l="1"/>
  <c r="E68" i="53"/>
  <c r="G67" i="53"/>
  <c r="E44" i="53"/>
  <c r="E45" i="53"/>
  <c r="E40" i="53"/>
  <c r="E48" i="53"/>
  <c r="E47" i="53"/>
  <c r="E38" i="53"/>
  <c r="E39" i="53"/>
  <c r="H38" i="53"/>
  <c r="E61" i="53" l="1"/>
  <c r="G61" i="53" s="1"/>
  <c r="E59" i="55"/>
  <c r="E72" i="53"/>
  <c r="E77" i="55" l="1"/>
  <c r="E90" i="53" l="1"/>
  <c r="G90" i="53" s="1"/>
  <c r="G94" i="53" s="1"/>
  <c r="H40" i="53"/>
  <c r="H90" i="53"/>
  <c r="G40" i="53" l="1"/>
  <c r="H10" i="53"/>
  <c r="E78" i="53" l="1"/>
  <c r="H107" i="53" l="1"/>
  <c r="H94" i="53"/>
  <c r="H24" i="52" l="1"/>
  <c r="I24" i="52"/>
  <c r="E77" i="53" l="1"/>
  <c r="G78" i="53" l="1"/>
  <c r="E10" i="53"/>
  <c r="H78" i="53" l="1"/>
  <c r="BO14" i="50" l="1"/>
  <c r="BQ14" i="50" s="1"/>
  <c r="BE14" i="50"/>
  <c r="BG14" i="50" s="1"/>
  <c r="AU14" i="50"/>
  <c r="AW14" i="50" s="1"/>
  <c r="AK14" i="50"/>
  <c r="AM14" i="50" s="1"/>
  <c r="AA14" i="50"/>
  <c r="AC14" i="50" s="1"/>
  <c r="Q14" i="50"/>
  <c r="S14" i="50" s="1"/>
  <c r="BO13" i="50"/>
  <c r="BP13" i="50" s="1"/>
  <c r="BT13" i="50" s="1"/>
  <c r="BE13" i="50"/>
  <c r="AU13" i="50"/>
  <c r="AK13" i="50"/>
  <c r="AA13" i="50"/>
  <c r="Q13" i="50"/>
  <c r="X14" i="50" s="1"/>
  <c r="AH14" i="50" l="1"/>
  <c r="AD13" i="50"/>
  <c r="BB14" i="50"/>
  <c r="BL14" i="50"/>
  <c r="AB13" i="50"/>
  <c r="AF13" i="50" s="1"/>
  <c r="AV13" i="50"/>
  <c r="AX13" i="50"/>
  <c r="AR14" i="50"/>
  <c r="AZ13" i="50"/>
  <c r="BV14" i="50"/>
  <c r="BR13" i="50"/>
  <c r="BP14" i="50"/>
  <c r="BT14" i="50" s="1"/>
  <c r="H27" i="53"/>
  <c r="E61" i="55"/>
  <c r="BF14" i="50"/>
  <c r="BJ14" i="50" s="1"/>
  <c r="S13" i="50"/>
  <c r="U13" i="50"/>
  <c r="W13" i="50"/>
  <c r="AO13" i="50"/>
  <c r="AQ13" i="50"/>
  <c r="BG13" i="50"/>
  <c r="BI13" i="50"/>
  <c r="BK13" i="50"/>
  <c r="R14" i="50"/>
  <c r="V14" i="50"/>
  <c r="AB14" i="50"/>
  <c r="AF14" i="50" s="1"/>
  <c r="AL14" i="50"/>
  <c r="AP14" i="50" s="1"/>
  <c r="AV14" i="50"/>
  <c r="AZ14" i="50"/>
  <c r="AM13" i="50"/>
  <c r="R13" i="50"/>
  <c r="T13" i="50"/>
  <c r="V13" i="50"/>
  <c r="AC13" i="50"/>
  <c r="AE13" i="50"/>
  <c r="AG13" i="50"/>
  <c r="AL13" i="50"/>
  <c r="AP13" i="50" s="1"/>
  <c r="AN13" i="50"/>
  <c r="AW13" i="50"/>
  <c r="AY13" i="50"/>
  <c r="BA13" i="50"/>
  <c r="BF13" i="50"/>
  <c r="BJ13" i="50" s="1"/>
  <c r="BH13" i="50"/>
  <c r="BQ13" i="50"/>
  <c r="BS13" i="50"/>
  <c r="BU13" i="50"/>
  <c r="E35" i="55" l="1"/>
  <c r="E27" i="53"/>
  <c r="G27" i="53" s="1"/>
  <c r="G29" i="53" s="1"/>
  <c r="E84" i="53" l="1"/>
  <c r="H84" i="53"/>
  <c r="H85" i="53" s="1"/>
  <c r="E58" i="53" l="1"/>
  <c r="G77" i="53"/>
  <c r="G82" i="53" s="1"/>
  <c r="I17" i="52"/>
  <c r="I19" i="52"/>
  <c r="G84" i="53" l="1"/>
  <c r="G85" i="53" s="1"/>
  <c r="H19" i="52" s="1"/>
  <c r="H17" i="52"/>
  <c r="E35" i="53" l="1"/>
  <c r="H118" i="53" l="1"/>
  <c r="H46" i="53"/>
  <c r="E89" i="55"/>
  <c r="E65" i="55"/>
  <c r="E81" i="55" l="1"/>
  <c r="G46" i="53"/>
  <c r="G44" i="53"/>
  <c r="H39" i="53"/>
  <c r="H41" i="53" l="1"/>
  <c r="H44" i="53"/>
  <c r="E73" i="53" l="1"/>
  <c r="H73" i="53" l="1"/>
  <c r="G73" i="53" l="1"/>
  <c r="H72" i="53"/>
  <c r="H74" i="53" s="1"/>
  <c r="I16" i="52" s="1"/>
  <c r="G72" i="53" l="1"/>
  <c r="G74" i="53" s="1"/>
  <c r="H16" i="52" s="1"/>
  <c r="BO25" i="50" l="1"/>
  <c r="BQ25" i="50" s="1"/>
  <c r="BE25" i="50"/>
  <c r="BG25" i="50" s="1"/>
  <c r="AK25" i="50"/>
  <c r="AM25" i="50" s="1"/>
  <c r="AA25" i="50"/>
  <c r="AC25" i="50" s="1"/>
  <c r="BO24" i="50"/>
  <c r="BR24" i="50" s="1"/>
  <c r="BE24" i="50"/>
  <c r="BK24" i="50" s="1"/>
  <c r="AK24" i="50"/>
  <c r="AQ24" i="50" s="1"/>
  <c r="AA24" i="50"/>
  <c r="AD24" i="50" s="1"/>
  <c r="BO23" i="50"/>
  <c r="BU23" i="50" s="1"/>
  <c r="BE23" i="50"/>
  <c r="BK23" i="50" s="1"/>
  <c r="AK23" i="50"/>
  <c r="AQ23" i="50" s="1"/>
  <c r="AA23" i="50"/>
  <c r="AG23" i="50" s="1"/>
  <c r="BO22" i="50"/>
  <c r="BQ22" i="50" s="1"/>
  <c r="BE22" i="50"/>
  <c r="BG22" i="50" s="1"/>
  <c r="AK22" i="50"/>
  <c r="AM22" i="50" s="1"/>
  <c r="AA22" i="50"/>
  <c r="AC22" i="50" s="1"/>
  <c r="BO21" i="50"/>
  <c r="BR21" i="50" s="1"/>
  <c r="BE21" i="50"/>
  <c r="BK21" i="50" s="1"/>
  <c r="AK21" i="50"/>
  <c r="AQ21" i="50" s="1"/>
  <c r="AA21" i="50"/>
  <c r="AD21" i="50" s="1"/>
  <c r="BO20" i="50"/>
  <c r="BE20" i="50"/>
  <c r="BL22" i="50" s="1"/>
  <c r="AK20" i="50"/>
  <c r="AA20" i="50"/>
  <c r="AH22" i="50" s="1"/>
  <c r="BO19" i="50"/>
  <c r="BE19" i="50"/>
  <c r="BG19" i="50" s="1"/>
  <c r="AK19" i="50"/>
  <c r="AM19" i="50" s="1"/>
  <c r="AA19" i="50"/>
  <c r="AC19" i="50" s="1"/>
  <c r="BO18" i="50"/>
  <c r="BR18" i="50" s="1"/>
  <c r="BE18" i="50"/>
  <c r="AK18" i="50"/>
  <c r="AA18" i="50"/>
  <c r="AD18" i="50" s="1"/>
  <c r="BO17" i="50"/>
  <c r="BU17" i="50" s="1"/>
  <c r="BE17" i="50"/>
  <c r="BG17" i="50" s="1"/>
  <c r="AK17" i="50"/>
  <c r="AQ17" i="50" s="1"/>
  <c r="AA17" i="50"/>
  <c r="AG17" i="50" s="1"/>
  <c r="BO16" i="50"/>
  <c r="BQ16" i="50" s="1"/>
  <c r="BE16" i="50"/>
  <c r="BG16" i="50" s="1"/>
  <c r="AK16" i="50"/>
  <c r="AM16" i="50" s="1"/>
  <c r="AA16" i="50"/>
  <c r="AC16" i="50" s="1"/>
  <c r="BO15" i="50"/>
  <c r="BE15" i="50"/>
  <c r="BF15" i="50" s="1"/>
  <c r="BJ15" i="50" s="1"/>
  <c r="AK15" i="50"/>
  <c r="AL15" i="50" s="1"/>
  <c r="AP15" i="50" s="1"/>
  <c r="AA15" i="50"/>
  <c r="BO12" i="50"/>
  <c r="BU12" i="50" s="1"/>
  <c r="BE12" i="50"/>
  <c r="AK12" i="50"/>
  <c r="AA12" i="50"/>
  <c r="AG12" i="50" s="1"/>
  <c r="AI22" i="50" l="1"/>
  <c r="AN15" i="50"/>
  <c r="BE26" i="50"/>
  <c r="BP16" i="50"/>
  <c r="BV22" i="50"/>
  <c r="BW22" i="50"/>
  <c r="AB16" i="50"/>
  <c r="AF16" i="50" s="1"/>
  <c r="BP18" i="50"/>
  <c r="BT18" i="50" s="1"/>
  <c r="AL17" i="50"/>
  <c r="AP17" i="50" s="1"/>
  <c r="BP21" i="50"/>
  <c r="BT21" i="50" s="1"/>
  <c r="BF16" i="50"/>
  <c r="BJ16" i="50" s="1"/>
  <c r="AK26" i="50"/>
  <c r="BW14" i="50"/>
  <c r="AS16" i="50"/>
  <c r="AR22" i="50"/>
  <c r="AG15" i="50"/>
  <c r="AI14" i="50"/>
  <c r="AL12" i="50"/>
  <c r="AP12" i="50" s="1"/>
  <c r="AQ15" i="50"/>
  <c r="AS14" i="50"/>
  <c r="AI16" i="50"/>
  <c r="BW16" i="50"/>
  <c r="AB18" i="50"/>
  <c r="AF18" i="50" s="1"/>
  <c r="AB21" i="50"/>
  <c r="AF21" i="50" s="1"/>
  <c r="AB24" i="50"/>
  <c r="AF24" i="50" s="1"/>
  <c r="BP24" i="50"/>
  <c r="BT24" i="50" s="1"/>
  <c r="AL16" i="50"/>
  <c r="AP16" i="50" s="1"/>
  <c r="BP17" i="50"/>
  <c r="BT17" i="50" s="1"/>
  <c r="AR19" i="50"/>
  <c r="BV19" i="50"/>
  <c r="AB23" i="50"/>
  <c r="AF23" i="50" s="1"/>
  <c r="BP23" i="50"/>
  <c r="BT23" i="50" s="1"/>
  <c r="BK15" i="50"/>
  <c r="BM14" i="50"/>
  <c r="BL19" i="50"/>
  <c r="BF12" i="50"/>
  <c r="BJ12" i="50" s="1"/>
  <c r="BH15" i="50"/>
  <c r="BM16" i="50"/>
  <c r="BF17" i="50"/>
  <c r="BJ17" i="50" s="1"/>
  <c r="AC12" i="50"/>
  <c r="BQ12" i="50"/>
  <c r="AE15" i="50"/>
  <c r="BQ15" i="50"/>
  <c r="BS15" i="50"/>
  <c r="BU15" i="50"/>
  <c r="BT16" i="50"/>
  <c r="AM18" i="50"/>
  <c r="AO18" i="50"/>
  <c r="AQ18" i="50"/>
  <c r="BG18" i="50"/>
  <c r="BI18" i="50"/>
  <c r="BK18" i="50"/>
  <c r="AH19" i="50"/>
  <c r="AB12" i="50"/>
  <c r="AF12" i="50" s="1"/>
  <c r="AM12" i="50"/>
  <c r="AQ12" i="50"/>
  <c r="BG12" i="50"/>
  <c r="BK12" i="50"/>
  <c r="BP12" i="50"/>
  <c r="BT12" i="50" s="1"/>
  <c r="AB15" i="50"/>
  <c r="AF15" i="50" s="1"/>
  <c r="AD15" i="50"/>
  <c r="AM15" i="50"/>
  <c r="AO15" i="50"/>
  <c r="BG15" i="50"/>
  <c r="BI15" i="50"/>
  <c r="BP15" i="50"/>
  <c r="BT15" i="50" s="1"/>
  <c r="BR15" i="50"/>
  <c r="AH16" i="50"/>
  <c r="AR16" i="50"/>
  <c r="BL16" i="50"/>
  <c r="BV16" i="50"/>
  <c r="AB17" i="50"/>
  <c r="AF17" i="50" s="1"/>
  <c r="AM17" i="50"/>
  <c r="BQ17" i="50"/>
  <c r="AC18" i="50"/>
  <c r="AE18" i="50"/>
  <c r="AG18" i="50"/>
  <c r="AL18" i="50"/>
  <c r="AP18" i="50" s="1"/>
  <c r="AN18" i="50"/>
  <c r="BF18" i="50"/>
  <c r="BJ18" i="50" s="1"/>
  <c r="BH18" i="50"/>
  <c r="BQ18" i="50"/>
  <c r="BS18" i="50"/>
  <c r="BU18" i="50"/>
  <c r="AB19" i="50"/>
  <c r="AF19" i="50" s="1"/>
  <c r="AI19" i="50"/>
  <c r="AL19" i="50"/>
  <c r="AP19" i="50" s="1"/>
  <c r="AS19" i="50"/>
  <c r="BF19" i="50"/>
  <c r="BJ19" i="50" s="1"/>
  <c r="BM19" i="50"/>
  <c r="BP19" i="50"/>
  <c r="BT19" i="50" s="1"/>
  <c r="BW19" i="50"/>
  <c r="AB20" i="50"/>
  <c r="AF20" i="50" s="1"/>
  <c r="AI20" i="50"/>
  <c r="AL20" i="50"/>
  <c r="AP20" i="50" s="1"/>
  <c r="AS20" i="50"/>
  <c r="BF20" i="50"/>
  <c r="BJ20" i="50" s="1"/>
  <c r="BM20" i="50"/>
  <c r="BP20" i="50"/>
  <c r="BT20" i="50" s="1"/>
  <c r="BW20" i="50"/>
  <c r="AC21" i="50"/>
  <c r="AE21" i="50"/>
  <c r="AG21" i="50"/>
  <c r="AL21" i="50"/>
  <c r="AP21" i="50" s="1"/>
  <c r="AN21" i="50"/>
  <c r="BF21" i="50"/>
  <c r="BJ21" i="50" s="1"/>
  <c r="BH21" i="50"/>
  <c r="BQ21" i="50"/>
  <c r="BS21" i="50"/>
  <c r="BU21" i="50"/>
  <c r="AB22" i="50"/>
  <c r="AF22" i="50" s="1"/>
  <c r="AL22" i="50"/>
  <c r="AP22" i="50" s="1"/>
  <c r="AS22" i="50"/>
  <c r="BF22" i="50"/>
  <c r="BJ22" i="50" s="1"/>
  <c r="BM22" i="50"/>
  <c r="BP22" i="50"/>
  <c r="BT22" i="50" s="1"/>
  <c r="AC23" i="50"/>
  <c r="AL23" i="50"/>
  <c r="AP23" i="50" s="1"/>
  <c r="BF23" i="50"/>
  <c r="BJ23" i="50" s="1"/>
  <c r="BQ23" i="50"/>
  <c r="AC24" i="50"/>
  <c r="AE24" i="50"/>
  <c r="AG24" i="50"/>
  <c r="AL24" i="50"/>
  <c r="AP24" i="50" s="1"/>
  <c r="AN24" i="50"/>
  <c r="BF24" i="50"/>
  <c r="BJ24" i="50" s="1"/>
  <c r="BH24" i="50"/>
  <c r="BQ24" i="50"/>
  <c r="BS24" i="50"/>
  <c r="BU24" i="50"/>
  <c r="AB25" i="50"/>
  <c r="AF25" i="50" s="1"/>
  <c r="AL25" i="50"/>
  <c r="AP25" i="50" s="1"/>
  <c r="BF25" i="50"/>
  <c r="BJ25" i="50" s="1"/>
  <c r="BP25" i="50"/>
  <c r="BT25" i="50" s="1"/>
  <c r="AA26" i="50"/>
  <c r="BO26" i="50"/>
  <c r="AC15" i="50"/>
  <c r="AC17" i="50"/>
  <c r="BQ19" i="50"/>
  <c r="AC20" i="50"/>
  <c r="AG20" i="50"/>
  <c r="AM20" i="50"/>
  <c r="AQ20" i="50"/>
  <c r="BG20" i="50"/>
  <c r="BK20" i="50"/>
  <c r="BQ20" i="50"/>
  <c r="BU20" i="50"/>
  <c r="AM21" i="50"/>
  <c r="AO21" i="50"/>
  <c r="BG21" i="50"/>
  <c r="BI21" i="50"/>
  <c r="AM23" i="50"/>
  <c r="BG23" i="50"/>
  <c r="AM24" i="50"/>
  <c r="AO24" i="50"/>
  <c r="BG24" i="50"/>
  <c r="BI24" i="50"/>
  <c r="BE28" i="50" l="1"/>
  <c r="AK28" i="50"/>
  <c r="BO28" i="50"/>
  <c r="AA28" i="50"/>
  <c r="C37" i="52" l="1"/>
  <c r="P36" i="52"/>
  <c r="H117" i="53" l="1"/>
  <c r="H120" i="53"/>
  <c r="H114" i="53"/>
  <c r="H115" i="53"/>
  <c r="E3" i="55"/>
  <c r="E2" i="55"/>
  <c r="E1" i="55"/>
  <c r="A4" i="55"/>
  <c r="A3" i="55"/>
  <c r="A1" i="55"/>
  <c r="E121" i="55"/>
  <c r="E101" i="55"/>
  <c r="E97" i="55"/>
  <c r="E87" i="55" l="1"/>
  <c r="H125" i="53"/>
  <c r="I36" i="52" s="1"/>
  <c r="L36" i="52" l="1"/>
  <c r="O36" i="52" s="1"/>
  <c r="G36" i="52"/>
  <c r="N36" i="52" s="1"/>
  <c r="M36" i="52" l="1"/>
  <c r="E63" i="55"/>
  <c r="E67" i="55"/>
  <c r="E55" i="53"/>
  <c r="E75" i="55" l="1"/>
  <c r="H77" i="53"/>
  <c r="H82" i="53" s="1"/>
  <c r="E19" i="55"/>
  <c r="A23" i="53"/>
  <c r="A22" i="53"/>
  <c r="A21" i="53"/>
  <c r="A20" i="53"/>
  <c r="A19" i="53"/>
  <c r="A18" i="53"/>
  <c r="A17" i="53"/>
  <c r="B19" i="53" l="1"/>
  <c r="D19" i="53"/>
  <c r="C19" i="53"/>
  <c r="B23" i="53"/>
  <c r="C23" i="53"/>
  <c r="D23" i="53"/>
  <c r="B20" i="53"/>
  <c r="C20" i="53"/>
  <c r="D20" i="53"/>
  <c r="B18" i="53"/>
  <c r="D18" i="53"/>
  <c r="C18" i="53"/>
  <c r="B17" i="53"/>
  <c r="D17" i="53"/>
  <c r="C17" i="53"/>
  <c r="B21" i="53"/>
  <c r="C21" i="53"/>
  <c r="D21" i="53"/>
  <c r="B22" i="53"/>
  <c r="D22" i="53"/>
  <c r="C22" i="53"/>
  <c r="G39" i="53"/>
  <c r="E117" i="55"/>
  <c r="E21" i="55"/>
  <c r="E9" i="55"/>
  <c r="E53" i="53" l="1"/>
  <c r="E71" i="55" l="1"/>
  <c r="E107" i="55"/>
  <c r="E69" i="55"/>
  <c r="G38" i="53" l="1"/>
  <c r="G55" i="53"/>
  <c r="H55" i="53"/>
  <c r="E23" i="55" l="1"/>
  <c r="E19" i="53"/>
  <c r="E49" i="55"/>
  <c r="H58" i="53"/>
  <c r="G58" i="53"/>
  <c r="H101" i="53" l="1"/>
  <c r="H102" i="53"/>
  <c r="P8" i="52"/>
  <c r="P9" i="52"/>
  <c r="P10" i="52"/>
  <c r="P11" i="52"/>
  <c r="P12" i="52"/>
  <c r="P13" i="52"/>
  <c r="P14" i="52"/>
  <c r="P15" i="52"/>
  <c r="P16" i="52"/>
  <c r="P17" i="52"/>
  <c r="P18" i="52"/>
  <c r="P19" i="52"/>
  <c r="P20" i="52"/>
  <c r="P21" i="52"/>
  <c r="P22" i="52"/>
  <c r="P23" i="52"/>
  <c r="P24" i="52"/>
  <c r="P25" i="52"/>
  <c r="P26" i="52"/>
  <c r="P27" i="52"/>
  <c r="P28" i="52"/>
  <c r="P29" i="52"/>
  <c r="P30" i="52"/>
  <c r="P31" i="52"/>
  <c r="P32" i="52"/>
  <c r="P33" i="52"/>
  <c r="P34" i="52"/>
  <c r="P7" i="52"/>
  <c r="E37" i="52" l="1"/>
  <c r="L16" i="52"/>
  <c r="L17" i="52"/>
  <c r="L18" i="52"/>
  <c r="L19" i="52"/>
  <c r="L20" i="52"/>
  <c r="L21" i="52"/>
  <c r="L25" i="52"/>
  <c r="L26" i="52"/>
  <c r="L27" i="52"/>
  <c r="L28" i="52"/>
  <c r="L32" i="52"/>
  <c r="L33" i="52"/>
  <c r="K16" i="52"/>
  <c r="K17" i="52"/>
  <c r="K18" i="52"/>
  <c r="K19" i="52"/>
  <c r="K20" i="52"/>
  <c r="K21" i="52"/>
  <c r="K25" i="52"/>
  <c r="K26" i="52"/>
  <c r="K27" i="52"/>
  <c r="K28" i="52"/>
  <c r="K32" i="52"/>
  <c r="K33" i="52"/>
  <c r="K7" i="52"/>
  <c r="G16" i="52"/>
  <c r="G17" i="52"/>
  <c r="G18" i="52"/>
  <c r="G19" i="52"/>
  <c r="G20" i="52"/>
  <c r="G21" i="52"/>
  <c r="G25" i="52"/>
  <c r="G26" i="52"/>
  <c r="G27" i="52"/>
  <c r="G28" i="52"/>
  <c r="G32" i="52"/>
  <c r="G33" i="52"/>
  <c r="F16" i="52"/>
  <c r="F17" i="52"/>
  <c r="F18" i="52"/>
  <c r="F19" i="52"/>
  <c r="F20" i="52"/>
  <c r="F21" i="52"/>
  <c r="F25" i="52"/>
  <c r="F26" i="52"/>
  <c r="F27" i="52"/>
  <c r="F28" i="52"/>
  <c r="F32" i="52"/>
  <c r="F33" i="52"/>
  <c r="G68" i="53" l="1"/>
  <c r="G70" i="53" s="1"/>
  <c r="H15" i="52" l="1"/>
  <c r="G48" i="53"/>
  <c r="G45" i="53"/>
  <c r="G36" i="53"/>
  <c r="E109" i="55" l="1"/>
  <c r="G49" i="53"/>
  <c r="G47" i="53"/>
  <c r="G35" i="53"/>
  <c r="G42" i="53" s="1"/>
  <c r="G19" i="53"/>
  <c r="H10" i="52" l="1"/>
  <c r="H12" i="52"/>
  <c r="G50" i="53"/>
  <c r="G51" i="53" s="1"/>
  <c r="H56" i="53"/>
  <c r="G18" i="53"/>
  <c r="E45" i="55"/>
  <c r="G17" i="53"/>
  <c r="E43" i="55"/>
  <c r="A1" i="54"/>
  <c r="H106" i="53"/>
  <c r="H105" i="53" l="1"/>
  <c r="H108" i="53" s="1"/>
  <c r="I34" i="52" l="1"/>
  <c r="L7" i="52"/>
  <c r="G7" i="52"/>
  <c r="H68" i="53"/>
  <c r="E11" i="55" l="1"/>
  <c r="G11" i="53"/>
  <c r="E21" i="53"/>
  <c r="H103" i="53"/>
  <c r="I29" i="52" s="1"/>
  <c r="E12" i="53" l="1"/>
  <c r="G12" i="53" s="1"/>
  <c r="E13" i="55"/>
  <c r="E27" i="55"/>
  <c r="E31" i="55"/>
  <c r="E23" i="53"/>
  <c r="G23" i="53" s="1"/>
  <c r="E29" i="55"/>
  <c r="E22" i="53"/>
  <c r="E57" i="55"/>
  <c r="E53" i="55"/>
  <c r="G21" i="53"/>
  <c r="H70" i="53"/>
  <c r="I15" i="52" s="1"/>
  <c r="K31" i="52"/>
  <c r="F31" i="52"/>
  <c r="F22" i="52"/>
  <c r="K22" i="52"/>
  <c r="G15" i="53" l="1"/>
  <c r="H8" i="52" s="1"/>
  <c r="K8" i="52" s="1"/>
  <c r="E33" i="55"/>
  <c r="E24" i="53"/>
  <c r="G24" i="53" s="1"/>
  <c r="E51" i="55"/>
  <c r="E55" i="55"/>
  <c r="K30" i="52"/>
  <c r="F30" i="52"/>
  <c r="K23" i="52"/>
  <c r="F23" i="52"/>
  <c r="E25" i="55" l="1"/>
  <c r="E20" i="53"/>
  <c r="G20" i="53" s="1"/>
  <c r="G22" i="53"/>
  <c r="G25" i="53" l="1"/>
  <c r="H9" i="52" s="1"/>
  <c r="H49" i="53"/>
  <c r="H50" i="53" l="1"/>
  <c r="H47" i="53"/>
  <c r="H35" i="53" l="1"/>
  <c r="H29" i="53" l="1"/>
  <c r="I10" i="52" s="1"/>
  <c r="K10" i="52" l="1"/>
  <c r="F10" i="52"/>
  <c r="H23" i="53" l="1"/>
  <c r="H22" i="53"/>
  <c r="H21" i="53"/>
  <c r="H20" i="53" l="1"/>
  <c r="H19" i="53" l="1"/>
  <c r="H18" i="53"/>
  <c r="H17" i="53" l="1"/>
  <c r="H25" i="53" s="1"/>
  <c r="H12" i="53"/>
  <c r="H11" i="53"/>
  <c r="F5" i="53"/>
  <c r="F4" i="53"/>
  <c r="A3" i="53"/>
  <c r="F3" i="53"/>
  <c r="A2" i="53"/>
  <c r="C1" i="53"/>
  <c r="A1" i="53"/>
  <c r="H15" i="53" l="1"/>
  <c r="I8" i="52" s="1"/>
  <c r="L34" i="52" l="1"/>
  <c r="G34" i="52"/>
  <c r="I9" i="52"/>
  <c r="N32" i="52"/>
  <c r="L30" i="52" l="1"/>
  <c r="G30" i="52"/>
  <c r="G29" i="52"/>
  <c r="L29" i="52"/>
  <c r="L31" i="52"/>
  <c r="G31" i="52"/>
  <c r="L23" i="52"/>
  <c r="G23" i="52"/>
  <c r="G22" i="52"/>
  <c r="L22" i="52"/>
  <c r="N33" i="52"/>
  <c r="N28" i="52"/>
  <c r="N19" i="52"/>
  <c r="N20" i="52"/>
  <c r="O21" i="52"/>
  <c r="N18" i="52"/>
  <c r="N21" i="52"/>
  <c r="O33" i="52"/>
  <c r="O27" i="52"/>
  <c r="O26" i="52"/>
  <c r="N27" i="52"/>
  <c r="O16" i="52"/>
  <c r="O17" i="52"/>
  <c r="O25" i="52"/>
  <c r="N26" i="52"/>
  <c r="O28" i="52"/>
  <c r="O32" i="52"/>
  <c r="M32" i="52" s="1"/>
  <c r="O18" i="52"/>
  <c r="O19" i="52"/>
  <c r="O20" i="52"/>
  <c r="N16" i="52"/>
  <c r="N17" i="52"/>
  <c r="N25" i="52"/>
  <c r="O34" i="52"/>
  <c r="O22" i="52" l="1"/>
  <c r="F9" i="52"/>
  <c r="K9" i="52"/>
  <c r="F8" i="52"/>
  <c r="M21" i="52"/>
  <c r="M17" i="52"/>
  <c r="M27" i="52"/>
  <c r="M33" i="52"/>
  <c r="M25" i="52"/>
  <c r="M20" i="52"/>
  <c r="M19" i="52"/>
  <c r="M28" i="52"/>
  <c r="M16" i="52"/>
  <c r="N34" i="52"/>
  <c r="M34" i="52" s="1"/>
  <c r="M18" i="52"/>
  <c r="M26" i="52"/>
  <c r="N22" i="52"/>
  <c r="M22" i="52" l="1"/>
  <c r="L10" i="52" l="1"/>
  <c r="G10" i="52"/>
  <c r="N7" i="52"/>
  <c r="C6" i="52"/>
  <c r="J3" i="52"/>
  <c r="A2" i="52"/>
  <c r="J1" i="52"/>
  <c r="E1" i="52"/>
  <c r="A1" i="52"/>
  <c r="G8" i="52" l="1"/>
  <c r="L8" i="52"/>
  <c r="G9" i="52"/>
  <c r="N9" i="52" s="1"/>
  <c r="L9" i="52"/>
  <c r="O7" i="52"/>
  <c r="M7" i="52" s="1"/>
  <c r="O9" i="52" l="1"/>
  <c r="M9" i="52" s="1"/>
  <c r="J13" i="35" l="1"/>
  <c r="K12" i="35"/>
  <c r="L7" i="35" l="1"/>
  <c r="A7" i="35"/>
  <c r="L6" i="35"/>
  <c r="F6" i="35"/>
  <c r="A5" i="35"/>
  <c r="L4" i="35"/>
  <c r="A4" i="35"/>
  <c r="L24" i="50"/>
  <c r="E24" i="50"/>
  <c r="A24" i="50"/>
  <c r="A8" i="50" l="1"/>
  <c r="M7" i="50"/>
  <c r="A7" i="50"/>
  <c r="M6" i="50"/>
  <c r="A6" i="50"/>
  <c r="K4" i="50"/>
  <c r="A4" i="50"/>
  <c r="C10" i="32"/>
  <c r="G8" i="32"/>
  <c r="D8" i="32"/>
  <c r="C7" i="32"/>
  <c r="C6" i="32"/>
  <c r="C5" i="32"/>
  <c r="C3" i="32"/>
  <c r="H53" i="53"/>
  <c r="H45" i="53"/>
  <c r="H48" i="53"/>
  <c r="H36" i="53"/>
  <c r="H42" i="53" l="1"/>
  <c r="I12" i="52" s="1"/>
  <c r="H51" i="53"/>
  <c r="I13" i="52" s="1"/>
  <c r="L24" i="52"/>
  <c r="K24" i="52"/>
  <c r="F24" i="52"/>
  <c r="K15" i="52"/>
  <c r="F15" i="52"/>
  <c r="K12" i="52"/>
  <c r="F12" i="52"/>
  <c r="F11" i="52"/>
  <c r="K11" i="52"/>
  <c r="L15" i="52"/>
  <c r="G15" i="52"/>
  <c r="N15" i="52" s="1"/>
  <c r="L11" i="52"/>
  <c r="G11" i="52"/>
  <c r="O23" i="52"/>
  <c r="N29" i="52"/>
  <c r="O30" i="52"/>
  <c r="O31" i="52"/>
  <c r="O8" i="52"/>
  <c r="N23" i="52"/>
  <c r="O29" i="52"/>
  <c r="N30" i="52"/>
  <c r="O10" i="52"/>
  <c r="H63" i="53" l="1"/>
  <c r="I14" i="52" s="1"/>
  <c r="L14" i="52" s="1"/>
  <c r="O14" i="52" s="1"/>
  <c r="G13" i="52"/>
  <c r="N13" i="52" s="1"/>
  <c r="G12" i="52"/>
  <c r="N12" i="52" s="1"/>
  <c r="G24" i="52"/>
  <c r="N24" i="52" s="1"/>
  <c r="O15" i="52"/>
  <c r="M15" i="52" s="1"/>
  <c r="O11" i="52"/>
  <c r="N11" i="52"/>
  <c r="N8" i="52"/>
  <c r="M8" i="52" s="1"/>
  <c r="M30" i="52"/>
  <c r="N10" i="52"/>
  <c r="M10" i="52" s="1"/>
  <c r="M23" i="52"/>
  <c r="M29" i="52"/>
  <c r="N31" i="52"/>
  <c r="M31" i="52" s="1"/>
  <c r="O24" i="52"/>
  <c r="G14" i="52" l="1"/>
  <c r="N14" i="52" s="1"/>
  <c r="M14" i="52" s="1"/>
  <c r="I37" i="52"/>
  <c r="L13" i="52"/>
  <c r="O13" i="52" s="1"/>
  <c r="M13" i="52" s="1"/>
  <c r="L12" i="52"/>
  <c r="M11" i="52"/>
  <c r="M24" i="52"/>
  <c r="G37" i="52" l="1"/>
  <c r="O12" i="52"/>
  <c r="M12" i="52" s="1"/>
  <c r="L37" i="52"/>
  <c r="M11" i="35" s="1"/>
  <c r="K11" i="35" l="1"/>
  <c r="G53" i="53" l="1"/>
  <c r="G56" i="53" l="1"/>
  <c r="G63" i="53" s="1"/>
  <c r="E103" i="55" l="1"/>
  <c r="H13" i="52" l="1"/>
  <c r="H14" i="52"/>
  <c r="F13" i="52" l="1"/>
  <c r="K13" i="52"/>
  <c r="K14" i="52"/>
  <c r="F14" i="52"/>
  <c r="J11" i="50" l="1"/>
  <c r="Q20" i="50" s="1"/>
  <c r="Q21" i="50" l="1"/>
  <c r="Q25" i="50"/>
  <c r="Q12" i="50"/>
  <c r="S12" i="50" s="1"/>
  <c r="Q23" i="50"/>
  <c r="R23" i="50" s="1"/>
  <c r="Q15" i="50"/>
  <c r="R15" i="50" s="1"/>
  <c r="V15" i="50" s="1"/>
  <c r="Q19" i="50"/>
  <c r="R19" i="50" s="1"/>
  <c r="Q18" i="50"/>
  <c r="R18" i="50" s="1"/>
  <c r="R20" i="50"/>
  <c r="V20" i="50" s="1"/>
  <c r="S20" i="50"/>
  <c r="W20" i="50"/>
  <c r="W21" i="50"/>
  <c r="Q22" i="50"/>
  <c r="Q17" i="50"/>
  <c r="T21" i="50"/>
  <c r="R12" i="50"/>
  <c r="V12" i="50" s="1"/>
  <c r="Q24" i="50"/>
  <c r="J17" i="50"/>
  <c r="Q16" i="50"/>
  <c r="S18" i="50" l="1"/>
  <c r="W15" i="50"/>
  <c r="S15" i="50"/>
  <c r="U18" i="50"/>
  <c r="T15" i="50"/>
  <c r="U15" i="50"/>
  <c r="W18" i="50"/>
  <c r="S19" i="50"/>
  <c r="V19" i="50"/>
  <c r="V18" i="50"/>
  <c r="X16" i="50"/>
  <c r="W12" i="50"/>
  <c r="W23" i="50"/>
  <c r="Y20" i="50"/>
  <c r="S25" i="50"/>
  <c r="R25" i="50"/>
  <c r="V25" i="50" s="1"/>
  <c r="Y22" i="50"/>
  <c r="V23" i="50"/>
  <c r="T18" i="50"/>
  <c r="S23" i="50"/>
  <c r="S21" i="50"/>
  <c r="R21" i="50"/>
  <c r="V21" i="50" s="1"/>
  <c r="U21" i="50"/>
  <c r="X19" i="50"/>
  <c r="S17" i="50"/>
  <c r="W17" i="50"/>
  <c r="R17" i="50"/>
  <c r="V17" i="50" s="1"/>
  <c r="Y16" i="50"/>
  <c r="S16" i="50"/>
  <c r="R16" i="50"/>
  <c r="V16" i="50" s="1"/>
  <c r="S22" i="50"/>
  <c r="R22" i="50"/>
  <c r="V22" i="50" s="1"/>
  <c r="Y14" i="50"/>
  <c r="U24" i="50"/>
  <c r="W24" i="50"/>
  <c r="T24" i="50"/>
  <c r="S24" i="50"/>
  <c r="R24" i="50"/>
  <c r="V24" i="50" s="1"/>
  <c r="Q26" i="50"/>
  <c r="Y19" i="50"/>
  <c r="X22" i="50"/>
  <c r="Q28" i="50" l="1"/>
  <c r="G20" i="50" s="1"/>
  <c r="F135" i="55"/>
  <c r="E135" i="55" s="1"/>
  <c r="F1580" i="54"/>
  <c r="F153" i="55" s="1"/>
  <c r="E153" i="55" l="1"/>
  <c r="E116" i="53"/>
  <c r="G116" i="53" s="1"/>
  <c r="F141" i="55"/>
  <c r="E141" i="55" s="1"/>
  <c r="F159" i="55"/>
  <c r="F163" i="55"/>
  <c r="F165" i="55"/>
  <c r="E101" i="53"/>
  <c r="G101" i="53" s="1"/>
  <c r="F161" i="55"/>
  <c r="F157" i="55"/>
  <c r="F169" i="55"/>
  <c r="F149" i="55"/>
  <c r="F167" i="55"/>
  <c r="F139" i="55"/>
  <c r="F151" i="55"/>
  <c r="G1580" i="54"/>
  <c r="G1582" i="54" s="1"/>
  <c r="F137" i="55" s="1"/>
  <c r="F155" i="55"/>
  <c r="F143" i="55"/>
  <c r="E106" i="53" l="1"/>
  <c r="G106" i="53" s="1"/>
  <c r="E165" i="55"/>
  <c r="E122" i="53"/>
  <c r="G122" i="53" s="1"/>
  <c r="E163" i="55"/>
  <c r="E121" i="53"/>
  <c r="G121" i="53" s="1"/>
  <c r="E159" i="55"/>
  <c r="E119" i="53"/>
  <c r="G119" i="53" s="1"/>
  <c r="E137" i="55"/>
  <c r="E102" i="53"/>
  <c r="G102" i="53" s="1"/>
  <c r="G103" i="53" s="1"/>
  <c r="H29" i="52" s="1"/>
  <c r="E167" i="55"/>
  <c r="E123" i="53"/>
  <c r="G123" i="53" s="1"/>
  <c r="E161" i="55"/>
  <c r="E120" i="53"/>
  <c r="G120" i="53" s="1"/>
  <c r="E115" i="53"/>
  <c r="G115" i="53" s="1"/>
  <c r="E151" i="55"/>
  <c r="E114" i="53"/>
  <c r="G114" i="53" s="1"/>
  <c r="E149" i="55"/>
  <c r="E107" i="53"/>
  <c r="G107" i="53" s="1"/>
  <c r="E143" i="55"/>
  <c r="E169" i="55"/>
  <c r="E124" i="53"/>
  <c r="G124" i="53" s="1"/>
  <c r="E117" i="53"/>
  <c r="G117" i="53" s="1"/>
  <c r="E155" i="55"/>
  <c r="E105" i="53"/>
  <c r="G105" i="53" s="1"/>
  <c r="E139" i="55"/>
  <c r="E157" i="55"/>
  <c r="E118" i="53"/>
  <c r="G118" i="53" s="1"/>
  <c r="G108" i="53" l="1"/>
  <c r="H34" i="52" s="1"/>
  <c r="F34" i="52" s="1"/>
  <c r="F29" i="52"/>
  <c r="K29" i="52"/>
  <c r="G125" i="53"/>
  <c r="H36" i="52" s="1"/>
  <c r="H37" i="52" l="1"/>
  <c r="K34" i="52"/>
  <c r="F36" i="52"/>
  <c r="F37" i="52" s="1"/>
  <c r="K36" i="52"/>
  <c r="K37" i="52" l="1"/>
  <c r="L11" i="35" s="1"/>
  <c r="L15" i="35" l="1"/>
  <c r="G11" i="50" s="1"/>
  <c r="J11" i="35"/>
  <c r="J15" i="35" s="1"/>
  <c r="G13" i="50" l="1"/>
  <c r="G17" i="50" s="1"/>
  <c r="AU18" i="50"/>
  <c r="AV18" i="50" s="1"/>
  <c r="AU22" i="50"/>
  <c r="AV22" i="50" s="1"/>
  <c r="AU20" i="50"/>
  <c r="AU25" i="50"/>
  <c r="AV25" i="50" s="1"/>
  <c r="AU24" i="50"/>
  <c r="AW24" i="50" s="1"/>
  <c r="AU17" i="50"/>
  <c r="AU19" i="50"/>
  <c r="AW19" i="50" s="1"/>
  <c r="AU12" i="50"/>
  <c r="BA12" i="50" s="1"/>
  <c r="AU16" i="50"/>
  <c r="AW16" i="50" s="1"/>
  <c r="AU23" i="50"/>
  <c r="AW23" i="50" s="1"/>
  <c r="AU15" i="50"/>
  <c r="AU21" i="50"/>
  <c r="AV21" i="50" s="1"/>
  <c r="BA17" i="50" l="1"/>
  <c r="AV24" i="50"/>
  <c r="AW25" i="50"/>
  <c r="AZ25" i="50" s="1"/>
  <c r="AY24" i="50"/>
  <c r="AW18" i="50"/>
  <c r="AV12" i="50"/>
  <c r="AZ12" i="50" s="1"/>
  <c r="AW12" i="50"/>
  <c r="AY18" i="50"/>
  <c r="AX24" i="50"/>
  <c r="AX18" i="50"/>
  <c r="BA21" i="50"/>
  <c r="AW21" i="50"/>
  <c r="AV16" i="50"/>
  <c r="AZ16" i="50" s="1"/>
  <c r="BC14" i="50"/>
  <c r="AX21" i="50"/>
  <c r="AV17" i="50"/>
  <c r="AV23" i="50"/>
  <c r="AZ23" i="50" s="1"/>
  <c r="AW22" i="50"/>
  <c r="AZ22" i="50" s="1"/>
  <c r="BA20" i="50"/>
  <c r="AU26" i="50"/>
  <c r="BA24" i="50"/>
  <c r="AV20" i="50"/>
  <c r="AY15" i="50"/>
  <c r="AW17" i="50"/>
  <c r="BC22" i="50"/>
  <c r="AX15" i="50"/>
  <c r="AV15" i="50"/>
  <c r="AZ15" i="50" s="1"/>
  <c r="BC20" i="50"/>
  <c r="BA23" i="50"/>
  <c r="BA15" i="50"/>
  <c r="AW15" i="50"/>
  <c r="BB16" i="50"/>
  <c r="BB22" i="50"/>
  <c r="BB19" i="50"/>
  <c r="BC19" i="50"/>
  <c r="AY21" i="50"/>
  <c r="BA18" i="50"/>
  <c r="AW20" i="50"/>
  <c r="BC16" i="50"/>
  <c r="AV19" i="50"/>
  <c r="AZ19" i="50" s="1"/>
  <c r="AZ24" i="50" l="1"/>
  <c r="AZ18" i="50"/>
  <c r="AZ17" i="50"/>
  <c r="AZ21" i="50"/>
  <c r="AZ20" i="50"/>
  <c r="AU28" i="50" l="1"/>
  <c r="G19" i="50" s="1"/>
</calcChain>
</file>

<file path=xl/sharedStrings.xml><?xml version="1.0" encoding="utf-8"?>
<sst xmlns="http://schemas.openxmlformats.org/spreadsheetml/2006/main" count="6097" uniqueCount="3130">
  <si>
    <t>عمليات خاكي با دست</t>
  </si>
  <si>
    <t>080310</t>
  </si>
  <si>
    <t>عمليات خاكي با  ماشين</t>
  </si>
  <si>
    <t>بتن در جا</t>
  </si>
  <si>
    <t>حمل و نقل</t>
  </si>
  <si>
    <t>060101</t>
  </si>
  <si>
    <t>آسفالت</t>
  </si>
  <si>
    <t>رديف</t>
  </si>
  <si>
    <t>تعداد</t>
  </si>
  <si>
    <t>طول</t>
  </si>
  <si>
    <t>عرض</t>
  </si>
  <si>
    <t>ارتفاع</t>
  </si>
  <si>
    <t>بهای واحد (ريال)</t>
  </si>
  <si>
    <t>رديف فهرست بها</t>
  </si>
  <si>
    <t xml:space="preserve">شرح </t>
  </si>
  <si>
    <t>مترمربع</t>
  </si>
  <si>
    <t>واحد</t>
  </si>
  <si>
    <t>فصل سوم : عمليات خاكي با ماشين</t>
  </si>
  <si>
    <t>فصل</t>
  </si>
  <si>
    <t xml:space="preserve"> تاریخ پیمان :</t>
  </si>
  <si>
    <t xml:space="preserve"> تاریخ تحویل زمین :</t>
  </si>
  <si>
    <t xml:space="preserve"> مبلغ اولیه پیمان :</t>
  </si>
  <si>
    <t xml:space="preserve"> مدت پیمان :</t>
  </si>
  <si>
    <t>صفحه :</t>
  </si>
  <si>
    <t>عنوان فصل</t>
  </si>
  <si>
    <t>عملیات خاکی با دست</t>
  </si>
  <si>
    <t>عملیات تخریب</t>
  </si>
  <si>
    <t>ابعاد</t>
  </si>
  <si>
    <t>سطح-حجم-وزن</t>
  </si>
  <si>
    <t>حجم کل</t>
  </si>
  <si>
    <t>حجم نظارت</t>
  </si>
  <si>
    <t>فصل سوم - عمليات خاكي با ماشين</t>
  </si>
  <si>
    <t>تجمعی</t>
  </si>
  <si>
    <t xml:space="preserve">جمع ردیف </t>
  </si>
  <si>
    <t>متر مکعب</t>
  </si>
  <si>
    <t>تجمعي كاركرد(ريال)</t>
  </si>
  <si>
    <t>جمع فصل سوم بدون ضرايب قرارداد</t>
  </si>
  <si>
    <t>جمع فصل چهارم بدون ضرايب قرارداد</t>
  </si>
  <si>
    <t>برگ خلاصه مالي فهارس بهاء</t>
  </si>
  <si>
    <t>قبلي</t>
  </si>
  <si>
    <t>تجمعي</t>
  </si>
  <si>
    <t>دوره</t>
  </si>
  <si>
    <t>توضيحات</t>
  </si>
  <si>
    <t xml:space="preserve">واحد : متر مكعب </t>
  </si>
  <si>
    <t>رشته</t>
  </si>
  <si>
    <t>شرح</t>
  </si>
  <si>
    <t>ابنيه</t>
  </si>
  <si>
    <t>تاسيسات مكانيكي</t>
  </si>
  <si>
    <t>تاسيسات برقي</t>
  </si>
  <si>
    <t xml:space="preserve">جمع مبالغ كاركرد به ريال </t>
  </si>
  <si>
    <t>پيش بيني قرارداد (ريال)</t>
  </si>
  <si>
    <t>شماره نامه</t>
  </si>
  <si>
    <t>تاريخ نامه</t>
  </si>
  <si>
    <t>ارسالي پيمانكار</t>
  </si>
  <si>
    <t>تاييد شده مشاور</t>
  </si>
  <si>
    <t>تاييد شده كارفرما</t>
  </si>
  <si>
    <t>جمع کل</t>
  </si>
  <si>
    <t>برگ خلاصه مالي کل صورت وضعيت</t>
  </si>
  <si>
    <t>مبلغ تایید شده مشاور</t>
  </si>
  <si>
    <t>مبلغ تایید شده کارفرما</t>
  </si>
  <si>
    <t>مبلغ کل تجمعی ناخالص صورت وضعیت فعلی</t>
  </si>
  <si>
    <t>مبلغ کل تجمعی ناخالص صورت وضعیت قبلی</t>
  </si>
  <si>
    <t>مبلغ کل ناخالص صورت وضعیت فعلی  به حروف :</t>
  </si>
  <si>
    <t>جمع کل به ریال</t>
  </si>
  <si>
    <t>تجمعي كاركرد فصل با ضریب پیمانکار(ريال)</t>
  </si>
  <si>
    <t>علی الحساب</t>
  </si>
  <si>
    <t>جمع فصل دوم بدون ضرايب قرارداد</t>
  </si>
  <si>
    <t>جمع فصل ششم بدون ضرايب قرارداد</t>
  </si>
  <si>
    <t>جمع فصل هفتم بدون ضرايب قرارداد</t>
  </si>
  <si>
    <t>عملیات بنایی با سنگ</t>
  </si>
  <si>
    <t>قالببندی چوبی</t>
  </si>
  <si>
    <t>قالببندی فلزی</t>
  </si>
  <si>
    <t>کارهای فولادی با میلگرد</t>
  </si>
  <si>
    <t>کارهای فولادی سنگین</t>
  </si>
  <si>
    <t>سقف سبک بتنی</t>
  </si>
  <si>
    <t>آجرکاری و شفته ریزی</t>
  </si>
  <si>
    <t>بتن پیش ساخته و بلوک چینی</t>
  </si>
  <si>
    <t>عایق کاری رطوبتی</t>
  </si>
  <si>
    <t>عایق کاری حرارتی</t>
  </si>
  <si>
    <t>کارهای آزبست سیمان</t>
  </si>
  <si>
    <t>کارهای فولادی سبک</t>
  </si>
  <si>
    <t>کارهای الومینیومی</t>
  </si>
  <si>
    <t>اندود و بند کشی</t>
  </si>
  <si>
    <t>کارهای چوبی</t>
  </si>
  <si>
    <t>کاشی و سرامیک کاری</t>
  </si>
  <si>
    <t>فرش کف با موزاییک</t>
  </si>
  <si>
    <t>کارهای سنگی با سنگ پلاک</t>
  </si>
  <si>
    <t>کارهای پلاستیکی</t>
  </si>
  <si>
    <t>برش و نصب شیشه</t>
  </si>
  <si>
    <t>زیراساس و اساس</t>
  </si>
  <si>
    <t>رنگ آمیزی</t>
  </si>
  <si>
    <t>030701</t>
  </si>
  <si>
    <t>030702</t>
  </si>
  <si>
    <t>مبلغ ناخالص قابل پرداخت این صورت وضعیت (دوره )</t>
  </si>
  <si>
    <t>فصل چهارم : عمليات بنایی با سنگ</t>
  </si>
  <si>
    <t>جمع فصل نهم بدون ضرايب قرارداد</t>
  </si>
  <si>
    <t>فصل هشتم : بتن در جا</t>
  </si>
  <si>
    <t>جمع فصل هشتم بدون ضرايب قرارداد</t>
  </si>
  <si>
    <t>080104</t>
  </si>
  <si>
    <t>030502</t>
  </si>
  <si>
    <t>030504</t>
  </si>
  <si>
    <t>فصل بیست و سوم : کارهای پلاستیکی</t>
  </si>
  <si>
    <t>فصل بیست و سوم - کارهای پلاستیکی</t>
  </si>
  <si>
    <t>جمع فصل بیست و سوم بدون ضرايب قرارداد</t>
  </si>
  <si>
    <t>فصل دوم- عملیات خاکی با دست</t>
  </si>
  <si>
    <t>فصل دوم: عملیات خاکی با دست</t>
  </si>
  <si>
    <t>020103</t>
  </si>
  <si>
    <t>020401</t>
  </si>
  <si>
    <t>080102</t>
  </si>
  <si>
    <t>فصل هفتم- کارهای فولادی با میلگرد</t>
  </si>
  <si>
    <t>070205</t>
  </si>
  <si>
    <t>فصل هفتم: کارهای فولادی با میلگرد</t>
  </si>
  <si>
    <t>080106</t>
  </si>
  <si>
    <t>فصل نهم- کارهای فولادی سنگین</t>
  </si>
  <si>
    <t>فصل نهم:کارهای فولادی سنگین</t>
  </si>
  <si>
    <t>090701</t>
  </si>
  <si>
    <t>فصل بیست و هشتم - حمل و نقل</t>
  </si>
  <si>
    <t>فصل بیست و هشتم : حمل و نقل</t>
  </si>
  <si>
    <t>جمع فصل بیست و هشتم بدون ضرايب قرارداد</t>
  </si>
  <si>
    <t>فصل ششم- قالب بندی فلزی</t>
  </si>
  <si>
    <t>فصل ششم: قالب بندی فلزی</t>
  </si>
  <si>
    <t>مالی فصول</t>
  </si>
  <si>
    <t>پیش بینی قرارداد(ريال)</t>
  </si>
  <si>
    <t>صورت وضعیت قبل(ريال)</t>
  </si>
  <si>
    <t>این دوره(ريال)</t>
  </si>
  <si>
    <t>ریزمتره ابنیه</t>
  </si>
  <si>
    <t>030601</t>
  </si>
  <si>
    <t>فصل هشتم- بتن درجا</t>
  </si>
  <si>
    <t>060301</t>
  </si>
  <si>
    <t>080111</t>
  </si>
  <si>
    <t>پیمانکار</t>
  </si>
  <si>
    <t>نظارت</t>
  </si>
  <si>
    <t>ضريب پيشنهادي جزء* ضریب طبقات</t>
  </si>
  <si>
    <t xml:space="preserve">فهرست بهای پیمان : </t>
  </si>
  <si>
    <t>020104</t>
  </si>
  <si>
    <t>030703</t>
  </si>
  <si>
    <t>030704</t>
  </si>
  <si>
    <t>070201</t>
  </si>
  <si>
    <t>070206</t>
  </si>
  <si>
    <t>080107</t>
  </si>
  <si>
    <t>080301</t>
  </si>
  <si>
    <t>090802</t>
  </si>
  <si>
    <t>اجرای پلاستوفوم در فونداسیونها</t>
  </si>
  <si>
    <t>متر طول</t>
  </si>
  <si>
    <t>020201</t>
  </si>
  <si>
    <t>020501</t>
  </si>
  <si>
    <t>فصل چهارم- عملیات بنایی با سنگ</t>
  </si>
  <si>
    <t>040203</t>
  </si>
  <si>
    <t>بنايي با سنگ لاشه و ملات ماسه سيمان 1:6 در پي.</t>
  </si>
  <si>
    <t xml:space="preserve">برگ خلاصه متره </t>
  </si>
  <si>
    <t>شماره ردیف</t>
  </si>
  <si>
    <t>نقل از متره (صفحه)</t>
  </si>
  <si>
    <t xml:space="preserve">نقل از قبل </t>
  </si>
  <si>
    <t xml:space="preserve">نقل از همین موقت </t>
  </si>
  <si>
    <t>جمع</t>
  </si>
  <si>
    <t>مشاور</t>
  </si>
  <si>
    <t>020601</t>
  </si>
  <si>
    <t>مصالح پای کار</t>
  </si>
  <si>
    <t>مترمکعب</t>
  </si>
  <si>
    <t>تن</t>
  </si>
  <si>
    <t>قالب</t>
  </si>
  <si>
    <t>عدد</t>
  </si>
  <si>
    <t>حمل آهن آلات</t>
  </si>
  <si>
    <t>فصل دهم- سقف سبك بتني</t>
  </si>
  <si>
    <t>050501</t>
  </si>
  <si>
    <t>060501</t>
  </si>
  <si>
    <t>070101</t>
  </si>
  <si>
    <t>070204</t>
  </si>
  <si>
    <t>070301</t>
  </si>
  <si>
    <t>080302</t>
  </si>
  <si>
    <t>090103</t>
  </si>
  <si>
    <t>090201</t>
  </si>
  <si>
    <t>تهيه و كار گذاشتن تير ساده (تيرريزي ساده) از يك تيرآهن.</t>
  </si>
  <si>
    <t>جمع فصل مصالح پای کار بدون ضرايب قرارداد</t>
  </si>
  <si>
    <t>فصل یازدهم- آجركاري و شفته ريزي</t>
  </si>
  <si>
    <t>فصل سیزدهم- عایق کاری رطوبتی</t>
  </si>
  <si>
    <t>جمع فصل یازدهم بدون ضرايب قرارداد</t>
  </si>
  <si>
    <t>جمع فصل دهم بدون ضرايب قرارداد</t>
  </si>
  <si>
    <t>040102</t>
  </si>
  <si>
    <t>سنگ چيني دركف ساختمان (بلوكاژ) با سنگ لاشه.</t>
  </si>
  <si>
    <t>مبلغ کل تجمعی ناخالص صورت وضعیت فعلی به اضافه 9 درصد مالیات ارزش افزوده</t>
  </si>
  <si>
    <t>جمع فصل سیزدهم بدون ضرايب قرارداد</t>
  </si>
  <si>
    <t>020301</t>
  </si>
  <si>
    <t>چاههای فاضلاب در مغاره ها</t>
  </si>
  <si>
    <t>فصل هجدهم-اندودكاري و بندكشي</t>
  </si>
  <si>
    <t>فصل هجدهم- اندودکاری و بند کشی</t>
  </si>
  <si>
    <t>جمع فصل هجدهم بدون ضرايب قرارداد</t>
  </si>
  <si>
    <t>بارگیری مواد حاصله ازعملیات حفاری چاه ها</t>
  </si>
  <si>
    <t>010903</t>
  </si>
  <si>
    <t>010904</t>
  </si>
  <si>
    <t>020102</t>
  </si>
  <si>
    <t>060801</t>
  </si>
  <si>
    <t>حمل آرماتور آجدارتا 10 AII</t>
  </si>
  <si>
    <t>حمل آرماتور آجدار12 تا 18 AIII</t>
  </si>
  <si>
    <t>حمل آرماتور آجدار بیش از 20 AIII</t>
  </si>
  <si>
    <t>حمل آرماتور ساده حرارتی</t>
  </si>
  <si>
    <t>حمل آرماتور آجدار تا 10 AIII</t>
  </si>
  <si>
    <t>حمل آرماتور مصالح پای کار</t>
  </si>
  <si>
    <t xml:space="preserve">حمل سیمان برای بتن مگر  </t>
  </si>
  <si>
    <t>حمل سیمان برای بتن با عیار 300</t>
  </si>
  <si>
    <t>حمل سیمان برای بتن با عیار 350</t>
  </si>
  <si>
    <t xml:space="preserve">حمل سیمان برای بتن سقف تیرچه بلوک  </t>
  </si>
  <si>
    <t>حمل سیمان برای ملات آجرچینی 22 سانتی</t>
  </si>
  <si>
    <t>حمل سیمان برای ملات آجرچینی 10 سانتی</t>
  </si>
  <si>
    <t>حمل سیمان برای ملات پلاستر</t>
  </si>
  <si>
    <t>060303</t>
  </si>
  <si>
    <t>دستگاه</t>
  </si>
  <si>
    <t>020504</t>
  </si>
  <si>
    <t>031001</t>
  </si>
  <si>
    <t xml:space="preserve">خاکریزی دور محوطه </t>
  </si>
  <si>
    <t>واحد :عدد</t>
  </si>
  <si>
    <t xml:space="preserve">گوم 80 سانتی برای چاههای فاضلاب </t>
  </si>
  <si>
    <t>95/10/18</t>
  </si>
  <si>
    <t>12ماه</t>
  </si>
  <si>
    <t>احداث بلوکهای Y و Z</t>
  </si>
  <si>
    <t>1.30*1.1695</t>
  </si>
  <si>
    <t>شماره آیتم</t>
  </si>
  <si>
    <t>شرح آیتم</t>
  </si>
  <si>
    <t>قیمت واحد به ریال</t>
  </si>
  <si>
    <t>010101</t>
  </si>
  <si>
    <t>بوته كني در زمين‌هاي پوشيده شده از بوته و خارج كردن ريشه‌هاي آن از محل عمليات.</t>
  </si>
  <si>
    <t>010111</t>
  </si>
  <si>
    <t>پر کردن و کوبيدن جاي ريشه با خاک مناسب در صورتي که محيط تنه درخت در سطح زمين تا 15 سانتي‌متر باشد به ازاي هر 5 سانتي‌متر محيط تنه (كسر 5 سانتي‌متر، به تناسـب محاسبه مي شود).</t>
  </si>
  <si>
    <t>اصله</t>
  </si>
  <si>
    <t>010112</t>
  </si>
  <si>
    <t>پر کردن و کوبيدن جاي ريشه با خاک مناسب در صورتي که محيط تنه درخت در سطح زمين بيش از 15 تا 30 سانتي‌متر باشد.</t>
  </si>
  <si>
    <t>010113</t>
  </si>
  <si>
    <t>پر کردن و کوبيدن جاي ريشه با خاک مناسب در صورتي که محيط تنه درخت در سطح زمين بيش از 30 تا 60 سانتي‌متر باشد.</t>
  </si>
  <si>
    <t>010114</t>
  </si>
  <si>
    <t>پر کردن و کوبيدن جاي ريشه با خاک مناسب در صورتي که محيط تنه درخت در سطح زمين بيش از 60 تا 90 سانتي‌متر باشد.</t>
  </si>
  <si>
    <t>010115</t>
  </si>
  <si>
    <t>اضافه بها به رديـف 010114، به ازاي هر 10 سانتي‌متر كه به محيط تنه درخت اضافه شود (كسر 10 سانتي‌متر، به تناسـب محاسبه مي‌شود).</t>
  </si>
  <si>
    <t>010121</t>
  </si>
  <si>
    <t>جابجایی درخت در صورتی که محیط تنه درخت تا 30 سانتی متر باشد.</t>
  </si>
  <si>
    <t>010122</t>
  </si>
  <si>
    <t>جابجایی درخت در صورتی که محیط تنه درخت از 30 تا 60 سانتی متر باشد.</t>
  </si>
  <si>
    <t>010123</t>
  </si>
  <si>
    <t>جابجایی درخت در صورتی که محیط تنه درخت از 60 تا 100 سانتی متر باشد.</t>
  </si>
  <si>
    <t>010124</t>
  </si>
  <si>
    <t>جابجایی درخت در صورتی که محیط تنه درخت بیش از 100 سانتی متر باشد.</t>
  </si>
  <si>
    <t>010201</t>
  </si>
  <si>
    <t>سوراخ كردن سقف يا ديوارهاي آجري يا بلوكي با هر نوع ملات، به ‌سطح مقطع تا 0/005 مترمربع.</t>
  </si>
  <si>
    <t>مترطول</t>
  </si>
  <si>
    <t>010202</t>
  </si>
  <si>
    <t>سوراخ كردن سقف يا ديوارهاي آجري يا بلوكي با هر نوع ملات، به ‌سطح مقطع بيش از 0/005 تا 0/1 مترمربع.</t>
  </si>
  <si>
    <t>010203</t>
  </si>
  <si>
    <t>سوراخ كردن سقف يا ديوارهاي آجري يا بلوكي با هر نوع ملات، به ‌سطح مقطع بيش از 0/1 تا 0/3 مترمربع.</t>
  </si>
  <si>
    <t>010204</t>
  </si>
  <si>
    <t>سوراخ كردن سقف يا ديوارهاي بتني و بتن مسلح، به‌ سطح مقطع تا 0/005 مترمربع به انضمام بريدن ميل‌گردها.</t>
  </si>
  <si>
    <t>010205</t>
  </si>
  <si>
    <t>سوراخ كردن سقف يا ديوارهاي بتني و بتن مسلح، به ‌سطح مقطع بيش از 0/005 تا 0/05 مترمربع به انضمام بريدن ميل‌گردها.</t>
  </si>
  <si>
    <t>010206</t>
  </si>
  <si>
    <t>اضافه بها به رديف 010205، براي هر 0/05 مترمربع كه به ‌سطح مقطع اضافه شود.</t>
  </si>
  <si>
    <t>010207</t>
  </si>
  <si>
    <t>ايجاد شيار، براي عبور لوله آب و گاز تا سطح مقطع، 20 سانتي‌متر مربع در سطوح بنايي غيربتني .</t>
  </si>
  <si>
    <t>010208</t>
  </si>
  <si>
    <t>ايجاد شيار، براي عبور لوله آب و گاز، با سطح مقطع، بيش از 20 تا40 سانتي‌متر مربع در سطوح بنايي غير بتني.</t>
  </si>
  <si>
    <t>010209</t>
  </si>
  <si>
    <t>اضافه بها به رديف 010208، به ازاي هر يك سانتي‌متر مربع كه به سطح اضافه شود تا سطح مقطع حداکثر 100 سانتی متر مربع .</t>
  </si>
  <si>
    <t>010210</t>
  </si>
  <si>
    <t>ايجاد شيار، براي عبور لوله آب و گاز، تا سطح مقطع، 20 سانتي‌متر مربع در سطوح بتني.</t>
  </si>
  <si>
    <t>010211</t>
  </si>
  <si>
    <t>ايجاد شيار، براي عبور لوله آب و گاز، با سطح مقطع، بيش از 20 تا 40 سانتي‌متر مربع در سطوح بتني.</t>
  </si>
  <si>
    <t>010212</t>
  </si>
  <si>
    <t>اضافه بها به ‌رديف 010211، براي هر يك سانتي‌متر مربع كه به سطح مقطع اضافه شود تا سطح مقطع حداکثر 100 سانتی متر مربع .</t>
  </si>
  <si>
    <t>010301</t>
  </si>
  <si>
    <t>تخريب كلي ساختمان‌هاي خشتي، گلي و چينه‌اي، شامل تمام عمليات تخريب.</t>
  </si>
  <si>
    <t>010302</t>
  </si>
  <si>
    <t>تخريب كلي ساختمان‌هاي آجري، سنگي و بلوكي با ملات‌هاي مختلف، شامل تمام عمليات تخريب.</t>
  </si>
  <si>
    <t>010401</t>
  </si>
  <si>
    <t>تخريب بنايي‌هاي خشتي يا چينه‌هاي گلي (چينه باغي).</t>
  </si>
  <si>
    <t>010402</t>
  </si>
  <si>
    <t>تخريب بنايي‌هاي آجري، بلوكي و سنگي كه با ملات ماسه و سيمان، يا باتارد چيده شده باشد.</t>
  </si>
  <si>
    <t>010403</t>
  </si>
  <si>
    <t>تخريب بنايي‌هاي آجري، بلوكي و سنگي كه با ملات گل آهك، ماسه آهك يا گچ و خاك چيده شده باشد.</t>
  </si>
  <si>
    <t>010404</t>
  </si>
  <si>
    <t>تخريب سقف آجري با تيرآهن يا بدون تيرآهن، به‌ هرضخامت، با برداشتن تيرآهن‌هاي مربوط.</t>
  </si>
  <si>
    <t>010405</t>
  </si>
  <si>
    <t>تخريب انواع بتن غيرمسلح، با هر عيار سيمان.</t>
  </si>
  <si>
    <t>010406</t>
  </si>
  <si>
    <t>تخريب بتن مسلح، با هرعيار سيمان و بريدن ميل‌گرد.</t>
  </si>
  <si>
    <t>010407</t>
  </si>
  <si>
    <t>تخريب شفته با هرعيار.</t>
  </si>
  <si>
    <t>010408</t>
  </si>
  <si>
    <t>تفكيك، دسته‌بندي و يا چيدن آجرها، بلوك‌ها، سنگ‌ها و مصالح مشابه حاصل از تخريب، برحسب حجم ظاهري مصالح چيده شده.</t>
  </si>
  <si>
    <t>010501</t>
  </si>
  <si>
    <t>برچيدن پله موزاييكي يا سنگي ريشه‌دار، به ‌هر عرض و ارتفاع.</t>
  </si>
  <si>
    <t>010502</t>
  </si>
  <si>
    <t>برچيدن فرش كف آجري يا موزاييكي با هر نوع ملات.</t>
  </si>
  <si>
    <t>010503</t>
  </si>
  <si>
    <t>برچيدن سنگ پله‌ها، يا فرش كف، يا ديوار كه با سنگ پلاك اجرا شده‌اند همراه با ملات مربوط.</t>
  </si>
  <si>
    <t>010504</t>
  </si>
  <si>
    <t>برچيدن فرش كف از سنگ‌هاي ريشه دار يا قلوه، همراه با ملات مربوط.</t>
  </si>
  <si>
    <t>010505</t>
  </si>
  <si>
    <t>برچيدن سراميك يا كاشي لعابي با ملات مربوط و تراشيدن ملات باقي مانده روي ديوار يا كف.</t>
  </si>
  <si>
    <t>010506</t>
  </si>
  <si>
    <t>جدید  اول</t>
  </si>
  <si>
    <t>010507</t>
  </si>
  <si>
    <t>تراشيدن اندود كاه‌گل ديوارها يا سقف‌ها همراه با اندود گچ روي آن، به ‌هر ضخامت.</t>
  </si>
  <si>
    <t>010508</t>
  </si>
  <si>
    <t>تراشيدن اندود گچ و خاك ديوارها يا سقف‌ها همراه با اندود گچ روي آن، به‌ هر ضخامت.</t>
  </si>
  <si>
    <t>010509</t>
  </si>
  <si>
    <t>تراشيدن اندودهاي ماسه سيمان، يا باتارد، يا ماسه آهك، به ‌هر ضخامت.</t>
  </si>
  <si>
    <t>010510</t>
  </si>
  <si>
    <t>درآوردن بند كهنه گچي، يا گچ و خاكستر و خاك و مانند آن، و پاك كردن درزها برحسب سطح ديوار.</t>
  </si>
  <si>
    <t>010511</t>
  </si>
  <si>
    <t>درآوردن بندهاي با ملات ماسه سيمان يا ماسه آهك و مانند آن، و پاك كردن و شستن درزها برحسب سطح ديوار.</t>
  </si>
  <si>
    <t>010512</t>
  </si>
  <si>
    <t>برچيدن سقف اطاق‌هايي كه با تير چوبي و حصير و توفال و كاه گل پوشيده شده است.</t>
  </si>
  <si>
    <t>010513</t>
  </si>
  <si>
    <t>برچيدن هر نوع سفال بام.</t>
  </si>
  <si>
    <t>010514</t>
  </si>
  <si>
    <t>برچيدن عايق‌كاري، اعم از قيرگوني مشمع قيراندود و يا مشابه آن، هر چند لا كه باشد.</t>
  </si>
  <si>
    <t>010515</t>
  </si>
  <si>
    <t>برچيدن (تخريب) جدول‌هاي بتني پيش ساخته.</t>
  </si>
  <si>
    <t>010601</t>
  </si>
  <si>
    <t>برچيدن تخته زير شيرواني يا توفال سقف.</t>
  </si>
  <si>
    <t>010602</t>
  </si>
  <si>
    <t>برچيدن لاپه چوبي به ‌طور كامل، بر حسب سطح تصوير افقي سقف.</t>
  </si>
  <si>
    <t>010603</t>
  </si>
  <si>
    <t>برچيدن خرپاي چوبي، به‌ انضمام اتصالات و تيرريزي‌هاي چوبي بين خرپاها، برحسب سطح تصوير افقي سقف.</t>
  </si>
  <si>
    <t>010604</t>
  </si>
  <si>
    <t>برچيدن در و پنجره چوبي، همراه با چهار چوب مربوط.</t>
  </si>
  <si>
    <t>010605</t>
  </si>
  <si>
    <t>برچيدن پاراوان چوبي يا فلزي.</t>
  </si>
  <si>
    <t>010606</t>
  </si>
  <si>
    <t>باز كردن قفل و يراق آلات در و پنجره لولا، چفت، دستگيره و مانند آن، برحسب هر در يا پنجره.</t>
  </si>
  <si>
    <t>010701</t>
  </si>
  <si>
    <t>برچيدن پنجره يا درهاي فلزي، همراه با قاب مربوط.</t>
  </si>
  <si>
    <t>010702</t>
  </si>
  <si>
    <t>برچيدن و صاف كردن (در حد امكان)، و دور چين كردن آهن ورق صاف يا کرکره‌اي از روي شيرواني، سايه‌بان، جان‌پناه، كف پنجره و مانند آن، برحسب سطح برچيده شده.</t>
  </si>
  <si>
    <t>010704</t>
  </si>
  <si>
    <t>برچيدن ورق‌هاي صاف يا موجدار آزبست سيمان، برحسب سطح برچيده شده.</t>
  </si>
  <si>
    <t>010705</t>
  </si>
  <si>
    <t>برچيدن هرنوع اسكلت فلزي ساختمان، برج آب فلزي و مانند آن، با هر نوع تيرآهن، ناوداني، نبشي، لوله و ورق و ساير پروفيل‌هاي فلزي، با هرگونه اتصال.</t>
  </si>
  <si>
    <t>کيلوگرم</t>
  </si>
  <si>
    <t>010706</t>
  </si>
  <si>
    <t>برچيدن هر نوع فنس از توري سيمي يا سيم خاردار، با پايه‌هاي مربوط.</t>
  </si>
  <si>
    <t>010801</t>
  </si>
  <si>
    <t>برچيدن كاسه ظرفشويي، روشويي پيسوار، بيده، توالت فرنگي، دوش يا فلاش تانك.</t>
  </si>
  <si>
    <t>010802</t>
  </si>
  <si>
    <t>بر چيدن مستراح شرقي و وان حمام.</t>
  </si>
  <si>
    <t>010803</t>
  </si>
  <si>
    <t>برچيدن لوله فلزي روكار، با قطر تا 2 اينچ.</t>
  </si>
  <si>
    <t>010804</t>
  </si>
  <si>
    <t>برچيدن لوله فلزي توكار، با قطر تا 2 اينچ.</t>
  </si>
  <si>
    <t>010805</t>
  </si>
  <si>
    <t>بر چيدن لوله فلزي روكار، با قطر بيش از 2 اينچ.</t>
  </si>
  <si>
    <t>010806</t>
  </si>
  <si>
    <t>برچيدن لوله فلزي توكار، با قطر بيش از 2 اينچ.</t>
  </si>
  <si>
    <t>010807</t>
  </si>
  <si>
    <t>برچيدن لوله‌هاي آزبست سيمان يا چدني فاضلاب.</t>
  </si>
  <si>
    <t>010808</t>
  </si>
  <si>
    <t>برچيدن سيم‌هاي برق، تلفن، زنگ اخبار و مانند آن، اعم از روكار و توكار (سيم‌هايي كه داخل يك لوله باشند، يك رشته محسوب مي‌شوند).</t>
  </si>
  <si>
    <t>010809</t>
  </si>
  <si>
    <t>برچيدن هر نوع چراغ‌هاي سقفي و پنكه سقفي، يا كارهاي مشابه آن.</t>
  </si>
  <si>
    <t>010810</t>
  </si>
  <si>
    <t>برچيدن هر نوع كليد و پريز معمولي و كارهاي مشابه، توكار يا روكار.</t>
  </si>
  <si>
    <t>010811</t>
  </si>
  <si>
    <t>برچيدن هر نوع كابل روي سطوح ديوار، سقف و کف.</t>
  </si>
  <si>
    <t>010901</t>
  </si>
  <si>
    <t>كندن آسفالت پشت بام به ‌هر ضخامت تا 3 سانتي‌متر.</t>
  </si>
  <si>
    <t>010902</t>
  </si>
  <si>
    <t>اضافه بها نسبت به رديف 010901 به ازاي هر سانتي‌متر اضافه ضخامت نسبت به مازاد 3 سانتي‌متر (کسر سانتي‌متر به تناسب محاسبه مي‌شود).</t>
  </si>
  <si>
    <t>کندن آسفالت جاده‌ها و خيابان‌ها براي لکه گيري به ضخامت تا 5 سانتي‌متر به ازاي سطح کنده شده.</t>
  </si>
  <si>
    <t>اضافه بها نسبت به رديف 010903 به ازاي هر سانتي‌متر اضافه ضخامت نسبت به مازاد 5 سانتي‌متر (کسر سانتي‌متر به تناسب محاسبه مي‌شود).</t>
  </si>
  <si>
    <t>010905</t>
  </si>
  <si>
    <t>شيار انداختن و کندن آسفالت به عرض تا 8 سانتي‌متر و عمق تا 10 سانتي‌متر براي اجراي کارهاي تاسيساتي با ماشين شيار زن.</t>
  </si>
  <si>
    <t>010906</t>
  </si>
  <si>
    <t>اضافه بها نسبت به رديف 010905، به ‌ازاي هر سانتي‌متر اضافه عمق مازاد بر 10 سانتي‌متر (کسر سانتي‌متر به تناسب محاسبه مي‌شود).</t>
  </si>
  <si>
    <t>010907</t>
  </si>
  <si>
    <t>برش آسفالت با کاتر به عمق تا 7 سانتي‌متر (اندازه‌گيري برحسب طول هر خط برش).</t>
  </si>
  <si>
    <t>010908</t>
  </si>
  <si>
    <t>اضافه بها نسبت به رديف 010907، به ‌ازاي هر سانتي‌متر اضافه عمق مازاد بر 7 سانتي‌متر، اندازه‌گيري برحسب طول هر خط برش (كسر سانتي‌متر‏ به تناسب محاسبه مي‌شود).</t>
  </si>
  <si>
    <t>010909</t>
  </si>
  <si>
    <t>تخريب کلي هر نوع آسفالت و اساس قيري به ضخامت تا 5 سانتي‌متر.</t>
  </si>
  <si>
    <t>010910</t>
  </si>
  <si>
    <t>اضافه بها نسبت به‌ رديف 010909، به ‌ازاي هر سانتي‌متر اضافه ضخامت مازاد بر 5 سانتي‌متر (کسر سانتي‌متر به تناسب محاسبه مي‌شود).</t>
  </si>
  <si>
    <t>010911</t>
  </si>
  <si>
    <t>تراشيدن هر نوع آسفالت و اساس قيري با ماشين مخصوص آسفالت ‌تراش، به ضخامت تا 5 سانتي‌متر.</t>
  </si>
  <si>
    <t>010912</t>
  </si>
  <si>
    <t>اضافه بها به رديف 010911 به ازاي هر سانتي‌متر اضافه ضخامت مازاد بر 5 سانتي‌متر (کسر سانتي‌متر به تناسب محاسبه مي‌شود).</t>
  </si>
  <si>
    <t>010913</t>
  </si>
  <si>
    <t>تخريب آسفالت بين دو خط برش (با فاصله حداكثر 1/5 متر) با وسايل مکانيکي مانند کمپرسور يا بيل مکانيکي، به ضخامت تا 7 سانتيمتر و برداشتن آن.</t>
  </si>
  <si>
    <t>010914</t>
  </si>
  <si>
    <t>اضافه بها به رديف 010913 به ازاي هر سانتي‌متر اضافه ضخامت مازاد بر 7 سانتي‌متر (کسر سانتي‌متر به تناسب محاسبه مي‌شود).</t>
  </si>
  <si>
    <t>010915</t>
  </si>
  <si>
    <t>اضافه بها به رديف 010911 در صورتي که از ماشين مخصوص آسفالت تراش براي لکه‌گيري غير پيوسته و پراکنده استفاده شود.</t>
  </si>
  <si>
    <t>020101</t>
  </si>
  <si>
    <t>لجن برداري، حمل با چرخ دستي يا وسايل مشابه آن، تا فاصله 50 متري و تخليه آن‌ها.</t>
  </si>
  <si>
    <t>خاك‌برداري، پي‌كني، گودبرداري و كانال‌كني در زمين‌هاي نرم، تا عمق 2 متر و ريختن خاك‌هاي كنده شده به‌كنار محل‌هاي مربوط.</t>
  </si>
  <si>
    <t>خاك‌برداري، پي‌كني، گودبرداري و كانال‌كني در زمين‌هاي سخت، تا عمق 2 متر و ريختن خاك‌هاي كنده شده به‌كنارمحل‌هاي مربوط.</t>
  </si>
  <si>
    <t>خاك‌برداري، پي‌كني، گودبرداري و كانال‌كني در زمين‌هاي سنگي، تا عمق 2 متر و ريختن مواد كنده شده به كنار محل‌هاي مربوط.</t>
  </si>
  <si>
    <t>اضافه بها، به رديف‌هاي 020102 تا 020104، هرگاه عمق، پي‌كني، گودبرداري و كانال‌كني بيش از 2 متر باشد، براي حجم واقع بين 2 تا 4 متر، يك بار و براي حجم واقع بين 4 تا 6 متر، دو بار و به همين ترتيب براي عمق‌هاي بيشتر.</t>
  </si>
  <si>
    <t>020202</t>
  </si>
  <si>
    <t>اضافه بها، به رديف‌هاي 020102 تا 020104، در صورتي كه، عمليات پايين تراز سطح آب زيرزميني صورت گيرد و براي آبكشي حين انجام كار، كاربردن تلمبه موتوري ضروري باشد.</t>
  </si>
  <si>
    <t>حفرميله چاه به قطرتا 1/2 متر و كوره و مخزن با مقاطع مورد نياز در زمين‌هاي نرم و سخت، تا عمق 20 متر از دهانه چاه و حمل خاك‌هاي حاصله تا فاصله 10 متري دهانه چاه.</t>
  </si>
  <si>
    <t>020302</t>
  </si>
  <si>
    <t>اضافه بها نسبت به رديف 020301، هرگاه عمق چاه بيش از20 متر باشد، براي حجم واقع در 5 متر اول مازاد بر20 متر، يك بار، و براي حجم واقع در 5 متر دوم، دو بار، و براي حجم واقع در 5 متر سوم، سه بار و به همين ترتيب براي عمق‌هاي بيشتر.</t>
  </si>
  <si>
    <t>بارگيري مواد حاصله از هر نوع عمليات خاكي، غير لجني، و حمل با هر نوع وسيله دستي تا50 متر و تخليه آن در مواردي كه استفاده از ماشين براي حمل ممكن نباشد.</t>
  </si>
  <si>
    <t>020402</t>
  </si>
  <si>
    <t>اضافه بها به رديف‌هاي 020101 و020401، براي 50 متر حمل اضافي با وسايل دستي، كسر50 متر به تناسب محاسبه مي‌شود.</t>
  </si>
  <si>
    <t>تسطيح و رگلاژ سطوح خاكريزي و خاكبرداري پي‌ها، گودها و كانال‌ها كه با ماشين انجام شده باشد.</t>
  </si>
  <si>
    <t>020502</t>
  </si>
  <si>
    <t>سرند كردن خاك، شن يا ماسه، برحسب حجم مواد سرند و مصرف شده در محل.</t>
  </si>
  <si>
    <t>020503</t>
  </si>
  <si>
    <t>تهيه، حمل، ريختن، پخش و تسطيح هر نوع خاك زراعتي به هرضخامت.</t>
  </si>
  <si>
    <t>ريختن خاك‌ها يا مصالح سنگي موجود در كنار پي‌ها، گودها و كانال‌ها، به‌درون پي‌ها، گودها و كانال‌ها در قشرهاي حداكثر 15 سانتي‌متر در هر عمق و پخش و تسطيح لازم.</t>
  </si>
  <si>
    <t>020505</t>
  </si>
  <si>
    <t>پخش و تسطيح خاك‌هاي ريخته شده در خاكريزها در قشرهاي حداكثر 15 سانتي‌متر، در هر عمق و ارتفاع به‌غير از پي‌ها، گودها و كانال‌ها.</t>
  </si>
  <si>
    <t>آب پاشي و كوبيدن سطوح خاك‌برداري شده يا سطح زمين طبيعي، با تراكم 95 درصد به‌روش پروكتور استاندارد.</t>
  </si>
  <si>
    <t>020602</t>
  </si>
  <si>
    <t>آب پاشي و كوبيدن خاك‌هاي پخش شده در قشرهاي حداكثر 15 سانتي‌متر، با تراكم 95 درصد به‌روش پروكتور استاندارد.</t>
  </si>
  <si>
    <t>030101</t>
  </si>
  <si>
    <t>شخم زدن هرنوع زمين غيرسنگي با وسيله مكانيكي، به‌عمق تا 15 سانتي‌متر.</t>
  </si>
  <si>
    <t>030102</t>
  </si>
  <si>
    <t>لجن برداري در زمين‌هاي لجني با هر وسيله مكانيكي، حمل مواد تا فاصله 20 متر از مركز ثقل برداشت و تخليه آن.</t>
  </si>
  <si>
    <t>030103</t>
  </si>
  <si>
    <t>خاك‌برداري يا گودبرداري در زمين‌هاي نرم با هر وسيله مكانيكي، حمل مواد حاصل از خاك‌برداري تا فاصله 20 متر از مركز ثقل برداشت و توده كردن آن.</t>
  </si>
  <si>
    <t>030104</t>
  </si>
  <si>
    <t>خاك‌برداري يا گودبرداري در زمين‌هاي سخت با هر وسيله مكانيكي، حمل مواد حاصل از خاك‌برداري تا فاصله 20 متر از مركز ثقل برداشت و توده كردن آن.</t>
  </si>
  <si>
    <t>030105</t>
  </si>
  <si>
    <t>خاك‌برداري يا گودبرداري در زمين‌هاي سنگي با هر وسيله مكانيكي، حمل مواد حاصل از خاك‌برداري تا فاصله 20 متر از مركز ثقل برداشت و توده كردن آن.</t>
  </si>
  <si>
    <t>030201</t>
  </si>
  <si>
    <t>خاك‌برداري يا گودبرداري در زمين‌هاي سنگي با هر وسيله مكانيكي و با استفاده از مواد سوزا، حمل مواد حاصل از خاك‌برداري تا فاصله 20 متر از مركز ثقل برداشت و توده كردن آن.</t>
  </si>
  <si>
    <t>030202</t>
  </si>
  <si>
    <t>خاک‌برداري يا گودبرداري در زمين‌هاي سنگي با استفاده از چکش هيدروليکي، حمل مواد حاصل از خاک‌برداري تا فاصله 20 متر از مرکز ثقل، برداشت و توده کردن آن.</t>
  </si>
  <si>
    <t>030203</t>
  </si>
  <si>
    <t>خاك‌برداري يا گودبرداري در زمين‌هاي سنگي بدون استفاده از مواد سوزا، ولي با استفاده از مواد منبسط شونده.</t>
  </si>
  <si>
    <t>030301</t>
  </si>
  <si>
    <t>رگلاژ و پروفيله كردن سطح شيرواني و كف ترانشه‌ها.</t>
  </si>
  <si>
    <t>030401</t>
  </si>
  <si>
    <t>اضافه بها به‌رديف‌هاي 030103 تا 030105 و 030201، در صورتي كه خاك‌برداري در گود انجام شود و نسبت ارتفاع متوسط گود به‌كوچكترين بعد گود، كوچكتر يا مساوي عدد 0/02 و بزرگتر يا مساوي عدد 0/01 باشد.</t>
  </si>
  <si>
    <t>030402</t>
  </si>
  <si>
    <t>اضافه بها به‌رديف‌هاي 030103 تا 030105 و 030201، در صورتي كه خاكبرداري در گود انجام شود و نسبت ارتفاع متوسط گود به‌كوچكترين بعد گود، بزرگتر از عدد 0/02 باشد.</t>
  </si>
  <si>
    <t>030403</t>
  </si>
  <si>
    <t>اضافه بها به‌رديف 030102، هرگاه فاصله حمل بيش از20 متر و حداكثر 50 متر باشد.</t>
  </si>
  <si>
    <t>030404</t>
  </si>
  <si>
    <t>اضافه بها به ‌رديف‌هاي 030103 تا 030105 و 030201، هرگاه فاصله حمل بيش از 20 متر و حداكثر50 متر باشد.</t>
  </si>
  <si>
    <t>030501</t>
  </si>
  <si>
    <t>پي‌كني، كانال‌كني با وسيله مكانيكي در زمين‌هاي نرم، تا عمق 2 متر و ريختن خاك كنده شده در كنارمحل‌هاي مربوط.</t>
  </si>
  <si>
    <t>پي‌كني، كانال‌كني با وسيله مكانيكي در زمين‌هاي سخت، تاعمق 2 متر و ريختن خاك كنده شده در كنارمحل‌هاي مربوط.</t>
  </si>
  <si>
    <t>030503</t>
  </si>
  <si>
    <t>پي‌كني، كانال‌كني با وسيله مكانيكي در زمين‌هاي لجني تا عمق 2 متر و حمل و تخليه مواد كنده شده تا فاصله 20 متر از مركز ثقل برداشت.</t>
  </si>
  <si>
    <t>پي‌كني، كانال‌كني با چکش هيدروليکي در زمين‌هاي سنگي تا عمق 2 متر و حمل و تخليه مواد كنده شده تا فاصله 20 متر از مركز ثقل برداشت.</t>
  </si>
  <si>
    <t>اضافه بها به‌رديف‌هاي 030501 تا 030504، هرگاه عمق پي، كانال بيش از 2 متر باشد، براي حجم خاك واقع شده در عمق 2 تا 3 متر، يك بار 3 تا 4 متر، دوبار، 4 تا 5 متر، سه بار و به‌همين ترتيب براي عمق‌هاي بيشتر.</t>
  </si>
  <si>
    <t>030602</t>
  </si>
  <si>
    <t>اضافه بها به ‌رديف‌هاي 030501، 030502 و 030504، هرگاه پي‌كني، كانال‌كني زير تراز آب زيرزميني انجام شود وآبكشي با تلمبه موتوري الزامي باشد.</t>
  </si>
  <si>
    <t>بارگيري مواد حاصل از عمليات خاكي يا خاك‌هاي توده شده و حمل آن با كاميون يا هرنوع وسيله مكانيكي ديگر تا فاصله 100 متري مركز ثقل برداشت و تخليه آن.</t>
  </si>
  <si>
    <t>حمل مواد حاصل از عمليات خاكي يا خاك‌هاي توده شده، وقتي كه فاصله حمل بيش از 100 متر تا 500 متر باشد، به ازاي هر 100 متر مازاد بر100 متر اول. كسر 100 متر به تناسب محاسبه مي شود.</t>
  </si>
  <si>
    <t>حمل مواد حاصل از عمليات خاكي يا خاك‌هاي توده شده، وقتي كه فاصله حمل بيش از500 متر تا10 كيلومتر باشد، براي هر كيلومتر مازاد بر500 متر اول، براي راه‌هاي آسفالتي (كسر كيلومتر به‌نسبت قيمت يك كيلومتر محاسبه مي‌شود).</t>
  </si>
  <si>
    <t>مترمکعب -  کيلومتر</t>
  </si>
  <si>
    <t>حمل مواد حاصل از عمليات خاكي ياخاك‌هاي توده شده، وقتي كه فاصله حمل بيش از10 كيلومتر تا30 كيلومتر باشد، براي هر كيلومتر مازاد بر10 كيلومتر، براي راه‌هاي آسفالتي(كسر كيلومتر، به‌نسبت قيمت يك كيلومتر محاسبه مي‌شود).</t>
  </si>
  <si>
    <t>030705</t>
  </si>
  <si>
    <t>حمل مواد حاصل از عمليات خاكي يا خاك‌هاي توده شده، وقتي كه فاصله حمل بيش از30 كيلومتر باشد، براي هر كيلومترمازاد بر30 كيلومتر، براي راه‌هاي آسفالتي (كسر كيلومتر، به ‌نسبت قيمت يك كيلومتر محاسبه مي‌شود).</t>
  </si>
  <si>
    <t>030801</t>
  </si>
  <si>
    <t>تسطيح بسترخاكريزها با گريدر يا ساير وسايل مکانيکي.</t>
  </si>
  <si>
    <t>030802</t>
  </si>
  <si>
    <t>آب پاشي و كوبيدن بستر خاكريزها يا كف ترانشه‌ها و مانند آن‌ها، تاعمق 15 سانتي‌متر با تراكم 85 درصد به‌روش آشو اصلاحي.</t>
  </si>
  <si>
    <t>030803</t>
  </si>
  <si>
    <t>آب پاشي و كوبيدن بستر خاكريزها يا كف ترانشه‌ها و مانند آن‌ها، تا عمق 15 سانتي‌متر با تراكم 90 درصد به‌روش آشو اصلاحي.</t>
  </si>
  <si>
    <t>030804</t>
  </si>
  <si>
    <t>آب پاشي و كوبيدن بستر خاكريزها ياكف ترانشه‌ها و مانند آن‌ها، تا عمق 15 سانتي‌متر با تراكم 95 درصد به‌روش آشو اصلاحي.</t>
  </si>
  <si>
    <t>030805</t>
  </si>
  <si>
    <t>آب پاشي و كوبيدن بستر خاكريزها يا كف ترانشه و مانند آن‌ها، تاعمق 15 سانتي‌متر با تراكم 100 درصدبه‌روش آشو اصلاحي.</t>
  </si>
  <si>
    <t>030901</t>
  </si>
  <si>
    <t>پخش، آب پاشي، تسطيح، پروفيله كردن، رگلاژ و كوبيدن قشرهاي خاكريزي و توونان، با 85 درصد كوبيدگي به‌روش آشو اصلاحي، وقتي كه ضخامت قشرهاي خاكريزي پس از كوبيده شدن حداكثر 15 سانتي‌متر باشد.</t>
  </si>
  <si>
    <t>030902</t>
  </si>
  <si>
    <t>پخش، آب پاشي، تسطيح، پروفيله كردن، رگلاژ و كوبيدن قشرهاي خاكريزي و توونان، با 90 درصد كوبيدگي به‌روش آشو اصلاحي، وقتي كه ضخامت قشرهاي خاكريزي پس از كوبيده شدن حداكثر 15 سانتي‌متر باشد.</t>
  </si>
  <si>
    <t>030903</t>
  </si>
  <si>
    <t>پخش، آب پاشي، تسطيح، پروفيله كردن، رگلاژ و كوبيدن قشرهاي خاكريزي و توونان، با 95 درصد كوبيدگي به‌روش آشو اصلاحي، وقتي كه ضخامت قشرهاي خاكريزي پس از كوبيده شدن حداكثر 15 سانتي‌متر باشد.</t>
  </si>
  <si>
    <t>030904</t>
  </si>
  <si>
    <t>پخش، آب پاشي، تسطيح، پروفيله كردن، رگلاژ و كوبيدن قشرهاي خاكريزي و توونان، با100 درصد كوبيدگي به‌روش آشو اصلاحي، وقتي كه ضخامت قشرهاي خاكريزي پس از كوبيده شدن حداكثر 15 سانتي‌متر باشد.</t>
  </si>
  <si>
    <t>030905</t>
  </si>
  <si>
    <t>تحکيم زمين‌هاي ماسه‌اي به روش تراکم ديناميکي (Dynamic Compaction) همراه با افزودن خاک مناسب.</t>
  </si>
  <si>
    <t>ريختن خاك‌ها يا مصالح سنگي موجود كنار پي‌ها، گودها و كانال‌ها، به‌درون پي‌ها، گودها و كانال‌ها.</t>
  </si>
  <si>
    <t>031002</t>
  </si>
  <si>
    <t>تهيه خاك مناسب، از خارج كارگاه، براي خاكريزها شامل كندن، بارگيري و حمل، تا فاصله 500 متر و باراندازي در محل مصرف.</t>
  </si>
  <si>
    <t>031003</t>
  </si>
  <si>
    <t>اختلاط دو ياچند نوع مصالح، به‌منظور ساختن بدنه راه و ساير كارهاي مشابه آن.</t>
  </si>
  <si>
    <t>031004</t>
  </si>
  <si>
    <t>پخش خاك‌هاي نباتي ريسه شده، تنظيم و رگلاژ آن در محل‌هاي مورد نظر.</t>
  </si>
  <si>
    <t>031005</t>
  </si>
  <si>
    <t>پخش مصالح حاصل از خاكبرداري، كه در محل‌هاي تعيين شده با هرضخامت دپو شود.</t>
  </si>
  <si>
    <t>031101</t>
  </si>
  <si>
    <t>تهيه ماسه بادي، شامل كندن بارگيري و حمل تا فاصله 500 متر و باراندازي درمحل مصرف.</t>
  </si>
  <si>
    <t>031102</t>
  </si>
  <si>
    <t>پخش، تسطيح، غرقاب كردن و كوبيدن ماسه بادي براي ساختمان بدنه راه و محوطه.</t>
  </si>
  <si>
    <t>031103</t>
  </si>
  <si>
    <t>پخش، تسطيح و كوبيدن ماسه بادي براي تحكيم بستر راه و محوطه.</t>
  </si>
  <si>
    <t>031201</t>
  </si>
  <si>
    <t>چال زني تا قطر 86 ميليمتر در هر نوع خاك به هر طول و زاويه تا 20 درجه نسبت به سطح افق.</t>
  </si>
  <si>
    <t>031202</t>
  </si>
  <si>
    <t>چال زني به قطر 86 ميليمتر و بيشتر در هر نوع خاك به هر طول و زاويه تا 20 درجه نسبت به سطح افق.</t>
  </si>
  <si>
    <t>031203</t>
  </si>
  <si>
    <t>كسر بها به رديف هاي 031201 و 031202 براي حفاري با زاويه بيشتر از 20 درجه نسبت به سطح افق تا 60 درجه به ازاي هر درجه.</t>
  </si>
  <si>
    <t>درصد</t>
  </si>
  <si>
    <t>040101</t>
  </si>
  <si>
    <t>سنگ چيني دركف ساختمان (بلوكاژ) با سنگ قلوه.</t>
  </si>
  <si>
    <t>040103</t>
  </si>
  <si>
    <t>سنگ ريزي پشت ديوارها و پي‌ها(درناژ) با سنگ قلوه.</t>
  </si>
  <si>
    <t>040104</t>
  </si>
  <si>
    <t>سنگ ريزي پشت ديوارها و پي‌ها (درناژ) با سنگ لاشه.</t>
  </si>
  <si>
    <t>040105</t>
  </si>
  <si>
    <t>تهيه، ساخت و نصب تورسنگ (گابيون) با توري گالوانيزه و سنگ قلوه.</t>
  </si>
  <si>
    <t>040106</t>
  </si>
  <si>
    <t>تهيه، ساخت و نصب تورسنگ (گابيون) با توري گالوانيزه و سنگ لاشه.</t>
  </si>
  <si>
    <t>040201</t>
  </si>
  <si>
    <t>بنايي با سنگ لاشه و ملات ماسه آهك 1:3 در پي.</t>
  </si>
  <si>
    <t>040202</t>
  </si>
  <si>
    <t>بنايي با سنگ لاشه و ملات باتارد 1:2:8 در پي.</t>
  </si>
  <si>
    <t>040204</t>
  </si>
  <si>
    <t>بنايي با سنگ لاشه و ملات ماسه آهك 1:3 در ديوارها و ساير محل‌هايي كه بالاتر از پي قرار دارند.</t>
  </si>
  <si>
    <t>040205</t>
  </si>
  <si>
    <t>بنايي با سنگ لاشه و ملات باتارد 1:2:8، در ديوارها و ساير محل‌هايي كه بالاتر از پي قرار دارند.</t>
  </si>
  <si>
    <t>040206</t>
  </si>
  <si>
    <t>بنايي با سنگ لاشه و ملات ماسه سيمان 1:6 در ديوارها و ساير محل‌هايي كه بالاتر از پي قرار دارند.</t>
  </si>
  <si>
    <t>040207</t>
  </si>
  <si>
    <t>سنگ قلوه غرقاب در ملات ماسه سيمان 1:6.</t>
  </si>
  <si>
    <t>040208</t>
  </si>
  <si>
    <t>سنگ لاشه غرقاب در ملات ماسه سيمان 1:6.</t>
  </si>
  <si>
    <t>040301</t>
  </si>
  <si>
    <t>نماسازي باسنگ قلوه رودخانه، با ملات ماسه سيمان 1:6 به انضمام بندكشي.</t>
  </si>
  <si>
    <t>040302</t>
  </si>
  <si>
    <t>اضافه بهاي نماسازي به‌رديف‌هاي بنايي با سنگ لاشه، در صورتي كه، سنگ لاشه به‌صورت نما و به‌شكل موزاييكي اجرا شود.</t>
  </si>
  <si>
    <t>040303</t>
  </si>
  <si>
    <t>اضافه بهاي نماسازي به‌رديف‌هاي بنايي با سنگ لاشه، در صورتي كه، سنگ لاشه به‌صورت نما و به‌شكل موزاييكي درز شده اجرا شود.</t>
  </si>
  <si>
    <t>040304</t>
  </si>
  <si>
    <t>اضافه بها به‌رديف‌هاي بنايي با سنگ لاشه، براي نماسازي با سنگ بادبر.</t>
  </si>
  <si>
    <t>040305</t>
  </si>
  <si>
    <t>اضافه بها به‌رديف‌هاي بنايي با سنگ لاشه، براي نماسازي با سنگ بادبر، با ارتفاع مساوي در هر رگ.</t>
  </si>
  <si>
    <t>040306</t>
  </si>
  <si>
    <t>اضافه بها به‌رديف‌هاي بنايي با سنگ لاشه، براي نماسازي باسنگ بادبر، با ارتفاع مساوي در تمام رگ‌ها.</t>
  </si>
  <si>
    <t>040307</t>
  </si>
  <si>
    <t>اضافه بها به‌بنايي‌هاي سنگي، هرگاه عمليات بنايي پايين تر از تراز آب زيرزميني انجام شود و تخليه آب با تلمبه موتوري در حين اجراي عمليات الزامي باشد.</t>
  </si>
  <si>
    <t>040308</t>
  </si>
  <si>
    <t>اضافه بها به‌هرنوع عمليات بنايي سنگي خارج از پي، درصورتي كه در انحنا، انجام شود.</t>
  </si>
  <si>
    <t>040309</t>
  </si>
  <si>
    <t>تعبيه درز انقطاع در بنايي‌هاي سنگي با تمام عمليات لازم و به‌هر شكل.</t>
  </si>
  <si>
    <t>040401</t>
  </si>
  <si>
    <t>تهيه و نصب سنگ دو تيشه ريشه دار لاشتر يا مشابه آن در ازاره ساختمان، باملات ماسه سيمان 1:6.</t>
  </si>
  <si>
    <t>040402</t>
  </si>
  <si>
    <t>بنايي فرش کف با سنگ لاشه، با ضخامت متوسط 10 سانتي‌متر با ملات ماسه سيمان  1:6.</t>
  </si>
  <si>
    <t>040501</t>
  </si>
  <si>
    <t>تهيه مصالح زهكشي طبق مشخصات و به‌كاربردن آن در زهكشي‌ها.</t>
  </si>
  <si>
    <t>040502</t>
  </si>
  <si>
    <t>تهيه و ريختن ماسه شسته رودخانه در داخل كانال‌ها، اطراف پي‌ها و لوله‌ها، كف ساختمان‌ها، روي بام‌ها معابر، محوطه‌ها و يا هر محل ديگري كه لازم باشد، به‌انضمام پخش و تسطيح آن‌ها در ضخامت‌هاي لازم.</t>
  </si>
  <si>
    <t>040503</t>
  </si>
  <si>
    <t>تهيه، حمل و ريختن ماسه كفي (خاكدار) در داخل كانال‌ها، اطراف پي‌ها و لوله‌ها، كف ساختمان‌ها، معابر، محوطه‌ها و يا هر محل ديگري كه لازم باشد، به‌انضمام پخش و تسطيح آن‌ها در ضخامت‌هاي لازم.</t>
  </si>
  <si>
    <t>040504</t>
  </si>
  <si>
    <t>تهيه، حمل و ريختن شن طبيعي در داخل كانال‌ها، اطراف پي‌ها و لوله‌ها، كف ساختمان‌ها، معابر محوطه‌ها يا هر محل ديگري كه لازم باشد، به‌انضمام پخش و تسطيح آن‌ها در ضخامت‌هاي لازم.</t>
  </si>
  <si>
    <t>040505</t>
  </si>
  <si>
    <t>تهيه، حمل و ريختن شن نقلي در معابر، محوطه‌ها و يا هر محل ديگري كه لازم باشد، به ‌انضمام پخش و تسطيح آن‌ها در ضخامت‌هاي لازم.</t>
  </si>
  <si>
    <t>040506</t>
  </si>
  <si>
    <t>تهيه، حمل و ريختن ماسه بادي، در داخل كانال‌ها، اطراف پي‌ها و لوله‌ها كف ساختمان‌ها، روي بام‌ها، معابر، محوطه‌ها و ياهر محل ديگري كه لازم باشد، به ‌انضمام پخش و تسطيح آن‌ها در ضخامت‌هاي لازم.</t>
  </si>
  <si>
    <t>050101</t>
  </si>
  <si>
    <t>تهيه وسايل و قالب‌بندي با استفاده از تخته نراد خارجي، درپي‌ها و شناژهاي مربوط به آن.</t>
  </si>
  <si>
    <t>050201</t>
  </si>
  <si>
    <t>تهيه وسايل و قالب‌بندي با استفاده تخته نراد خارجي، در ديوارهاي بتني كه ارتفاع ديوار حداكثر 3/5 متر باشد.</t>
  </si>
  <si>
    <t>050202</t>
  </si>
  <si>
    <t>تهيه وسايل و قالب‌بندي با استفاده از تخته نراد خارجي در ديوارهاي بتني كه ارتفاع ديوار بيش از 3/5 متر و حداكثر 5/5 متر باشد.</t>
  </si>
  <si>
    <t>050203</t>
  </si>
  <si>
    <t>تهيه وسايل و قالب‌بندي با استفاده از تخته نراد خارجي در ديوار‌هاي بتني كه ارتفاع ديوار بيش از 5/5 متر و حداكثر 7/5 متر باشد.</t>
  </si>
  <si>
    <t>050204</t>
  </si>
  <si>
    <t>تهيه وسايل و قالب‌بندي با استفاده از تخته نراد خارجي در ديوار‌هاي بتني كه ارتفاع ديوار بيش از 7/5 متر و حداكثر10 متر باشد.</t>
  </si>
  <si>
    <t>050301</t>
  </si>
  <si>
    <t>تهيه وسايل و قالب‌بندي با استفاده از تخته نراد خارجي، در ستون‌ها و شناژهاي قايم با مقطع چهار ضلعي تا ارتفاع حداكثر 3/5 متر.</t>
  </si>
  <si>
    <t>050302</t>
  </si>
  <si>
    <t>تهيه وسايل و قالب‌بندي با استفاده از تخته نراد خارجي، در ستون‌ها و شناژهاي قايم با مقطع چهار ضلعي كه ارتفاع آن بيش از 3/5 متر و حداكثر 5/5 متر باشد.</t>
  </si>
  <si>
    <t>050303</t>
  </si>
  <si>
    <t>تهيه وسايل و قالب‌بندي با استفاده از تخته نراد خارجي، در ستون‌ها و شناژهاي قايم با مقطع چهار ضلعي كه ارتفاع آن بيش از 5/5 متر و حداكثر 7/5 متر باشد.</t>
  </si>
  <si>
    <t>050304</t>
  </si>
  <si>
    <t>تهيه وسايل و قالب‌بندي با استفاده از تخته نراد خارجي، در ستون‌ها و شناژهاي قايم با مقطع چهار ضلعي كه ارتفاع آن بيش از 7/5 متر و حداكثر10 متر باشد.</t>
  </si>
  <si>
    <t>050401</t>
  </si>
  <si>
    <t>تهيه وسايل و قالب‌بندي با استفاده از تخته نراد خارجي، در تاوه‌ها (دال‌ها) تا ارتفاع حداكثر 3/5 متر.</t>
  </si>
  <si>
    <t>050402</t>
  </si>
  <si>
    <t>تهيه وسايل و قالب‌بندي با استفاده از تخته نراد خارجي، در تاوه‌ها (دال‌ها) در صورتي كه ارتفاع بيش از 3/5 متر و حداكثر 5/5 متر باشد.</t>
  </si>
  <si>
    <t>050403</t>
  </si>
  <si>
    <t>تهيه وسايل و قالب‌بندي با استفاده از تخته نراد خارجي، در تاوه‌ها (دال‌ها) در صورتي كه ارتفاع بيش از 5/5 متر و حداكثر 7/5 متر باشد.</t>
  </si>
  <si>
    <t>050404</t>
  </si>
  <si>
    <t>تهيه وسايل و قالب‌بندي با استفاده از تخته نراد خارجي، در تاوه‌ها (دال‌ها) در صورتي كه ارتفاع بيش از 7/5 متر و حداكثر10 متر باشد.</t>
  </si>
  <si>
    <t>050405</t>
  </si>
  <si>
    <t>تهيه وسايل و جاگذاري قالب‌هاي قابلمه‌اي (وافل) و برداشت آن‌ها پس از بتن‌ريزي در سقف‌هاي بتني با تيرچه‌هاي دو طرفه بر حسب مترمربع تصوير افقي آن قسمت از سقف که در آن وافل به کار رفته باشد.</t>
  </si>
  <si>
    <t>050406</t>
  </si>
  <si>
    <t>تهيه وسايل و قالب‌بندي با استفاده از تخته نراد خارجي براي سقف‌هاي مركب (composite).</t>
  </si>
  <si>
    <t>تهيه وسايل و قالب‌بندي با استفاده از تخته نراد خارجي، در تيرهاي بتني تا ارتفاع حداكثر 3/5 متر.</t>
  </si>
  <si>
    <t>050502</t>
  </si>
  <si>
    <t>تهيه وسايل و قالب‌بندي با استفاده از تخته نراد خارجي، در تيرهاي بتني در صورتي كه ارتفاع بيش از 3/5 متر و حداكثر 5/5 متر باشد.</t>
  </si>
  <si>
    <t>050503</t>
  </si>
  <si>
    <t>تهيه وسايل و قالب‌بندي با استفاده از تخته نراد خارجي، در تيرهاي بتني در صورتي كه ارتفاع بيش از 5/5 متر و حداكثر 7/5 متر باشد.</t>
  </si>
  <si>
    <t>050504</t>
  </si>
  <si>
    <t>تهيه وسايل و قالب‌بندي با استفاده از تخته نراد خارجي، در تيرهاي بتني در صورتي كه ارتفاع بيش از 7/5 متر و حداكثر10 متر باشد.</t>
  </si>
  <si>
    <t>050601</t>
  </si>
  <si>
    <t>تهيه وسايل و قالب‌بندي با استفاده از تخته نراد خارجي، در شناژهاي افقي روي ديوار، در هر ارتفاع.</t>
  </si>
  <si>
    <t>050701</t>
  </si>
  <si>
    <t>تهيه وسايل و قالب‌بندي با استفاده از تخته نراد خارجي، در پله‌هاي بتني شامل تير، دال، دست انداز، كف پله و مانندآن به طور كامل در هر ارتفاع و به هرشكل.</t>
  </si>
  <si>
    <t>050801</t>
  </si>
  <si>
    <t>اضافه بها براي قالب‌بندي جدار خارجي ديوارها، تيرها و ستون‌ها، با استفاده از تخته نراد خارجي .</t>
  </si>
  <si>
    <t>050802</t>
  </si>
  <si>
    <t>اضافه بها به رديف‌هاي 050201 تا 050204، در صورتي كه به‌جاي بولت از فاصله نگهدارهاي مخصوص با صفحه آب بند استفاده شود.</t>
  </si>
  <si>
    <t>050803</t>
  </si>
  <si>
    <t>اضافه بها به رديف‌هاي قالب‌بندي با استفاده از تخته نراد خارجي براي سطوح منحني، به استثناي ستون‌ها.</t>
  </si>
  <si>
    <t>050804</t>
  </si>
  <si>
    <t>اضافه بها به رديف‌هاي 050301 تا 050304، ولي با مقطع منحني و غير چهار ضلعي.</t>
  </si>
  <si>
    <t>050805</t>
  </si>
  <si>
    <t>اضافه بهاي قالب‌بندي در سطوح شيبدار با استفاده از تخته نراد خارجي در صورتيكه شيب بيش از 5 درصد باشد.</t>
  </si>
  <si>
    <t>050806</t>
  </si>
  <si>
    <t>اضافه بها براي حكمي بودن قالب‌بندي، با استفاده از تخته نراد خارجي، براي بتن نمايان (اكسپوز).</t>
  </si>
  <si>
    <t>050807</t>
  </si>
  <si>
    <t>اضافه بها به رديف‌هاي قالب‌بندي با استفاده از تخته نراد خارجي، در صورتي كه عمليات قالب‌بندي زير تراز آب‌هاي زيرزميني انجام شود و آبكشي با تلمبه موتوري در حين اجراي كار، ضروري باشد.</t>
  </si>
  <si>
    <t>050808</t>
  </si>
  <si>
    <t>اضافه بهاي قالب‌بندي، با استفاده از تخته نراد خارجي، در صورتي كه قالب الزاما در كار باقي بماند (قالب گم شده).</t>
  </si>
  <si>
    <t>050809</t>
  </si>
  <si>
    <t>اضافه بها به ردیفهای قالب بندی سطوح نمایان دیوارها،تیرها،ستون ها و تاوه ها (دال ها)، در صورتی که به جای تخته نراد خارجی از تخته چند لایه با روکش لاکی از جنس پلیمتر(ply wood)استفاده شود.</t>
  </si>
  <si>
    <t>050810</t>
  </si>
  <si>
    <t>اضافه بها بابت قالب بندی دال های داخلی سازه های فرآیندی تصفیه خانه های آب و فاضلاب ، که دارای انحنا  یا شکست در ارتفاع بوده و مجموع سطوح  قالب بندی هر یک از آنها تا 25 متر مربع باشد.</t>
  </si>
  <si>
    <t>050901</t>
  </si>
  <si>
    <t>قالب‌بندي درز انبساط در بتن با استفاده از تخته نرادخارجي، با تمام وسايل لازم به استثناي كف‌سازي‌هاي بتني برحسب حجم درز.</t>
  </si>
  <si>
    <t>دسيمتر مکعب</t>
  </si>
  <si>
    <t>050902</t>
  </si>
  <si>
    <t>تعبيه انواع درز در كف سازي‌هاي بتني درموقع اجرا با استفاده از تخته نرادخارجي، با تمام وسايل لازم بدون پركردن آن برحسب حجم درز.</t>
  </si>
  <si>
    <t>050903</t>
  </si>
  <si>
    <t>تهيه وسايل، ساخت قالب چوبي و تعبيه بازشو   و جايگذاري آن براي بتن‌ريزي و خارج کردن آن. اندازه‌گيري بر حسب سطح جانبي بتن محل باز شو.</t>
  </si>
  <si>
    <t>050904</t>
  </si>
  <si>
    <t>تهیه وسایل ، ساخت قالب و قالب بندی درزهای انقباضی بتن، و خارج کردن آن، اندازه گیری بر حسب سطح جانبی بتن درز.</t>
  </si>
  <si>
    <t>051001</t>
  </si>
  <si>
    <t>تهيه وسايل، چوب‌بست و تخته‌كوبي براي جلوگيري از ريزش خاك در پي‌ها، گودها و كانال‌ها در هر عمق.</t>
  </si>
  <si>
    <t>تهيه وسايل و قالب‌بندي با استفاده از قالب فلزي درپي‌ها و شناژهاي پي.</t>
  </si>
  <si>
    <t>060102</t>
  </si>
  <si>
    <t>تهيه وسايل و قالب‌بندي جداول به هر ارتفاع براي بتن‌ريزي درجا.</t>
  </si>
  <si>
    <t>060201</t>
  </si>
  <si>
    <t>تهيه وسايل و قالب‌بندي با استفاده از قالب فلزي در ديوارهاي بتني كه ارتفاع ديوار حداكثر 3/5 متر باشد.</t>
  </si>
  <si>
    <t>060202</t>
  </si>
  <si>
    <t>تهيه وسايل و قالب‌بندي با استفاده از قالب فلزي در ديوارهاي بتني كه ارتفاع ديوار بيش از 3/5 متر و حداكثر 5/5 متر باشد.</t>
  </si>
  <si>
    <t>060203</t>
  </si>
  <si>
    <t>تهيه وسايل و قالب‌بندي با استفاده از قالب فلزي در ديوارهاي بتني كه ارتفاع ديوار بيش از 5/5 متر و حداكثر 7/5 متر باشد.</t>
  </si>
  <si>
    <t>060204</t>
  </si>
  <si>
    <t>تهيه وسايل و قالب‌بندي با استفاده از قالب فلزي در ديوارهاي بتني كه ارتفاع ديوار بيش از 7/5 متر و حداكثر10 متر باشد.</t>
  </si>
  <si>
    <t>تهيه وسايل و قالب‌بندي با استفاده از قالب فلزي در ستون‌ها و شناژهاي قايم با مقطع چهار ضلعي تا ارتفاع حداكثر 3/5 متر.</t>
  </si>
  <si>
    <t>060302</t>
  </si>
  <si>
    <t>تهيه وسايل و قالب‌بندي با استفاده از قالب فلزي در ستون‌ها و شناژهاي قايم با مقطع چهار ضلعي كه ارتفاع بيش از 3/5 متر و حداكثر 5/5 متر باشد.</t>
  </si>
  <si>
    <t>تهيه وسايل و قالب‌بندي با استفاده از قالب فلزي در ستون‌ها و شناژهاي قايم با مقطع چهار ضلعي كه ارتفاع بيش از 5/5 متر و حداكثر 7/5 متر باشد.</t>
  </si>
  <si>
    <t>060304</t>
  </si>
  <si>
    <t>تهيه وسايل و قالب‌بندي با استفاده از قالب فلزي در ستون‌ها و شناژهاي قايم با مقطع چهار ضلعي كه ارتفاع بيش از 7/5 متر و حداكثر 10 متر باشد.</t>
  </si>
  <si>
    <t>060401</t>
  </si>
  <si>
    <t>تهيه وسايل و قالب‌بندي با استفاده از قالب فلزي در تاوه‌ها (دال‌ها) تا ارتفاع حداكثر 3/5 متر.</t>
  </si>
  <si>
    <t>060402</t>
  </si>
  <si>
    <t>تهيه وسايل و قالب‌بندي با استفاده از قالب فلزي در تاوه‌ها (دال‌ها) كه ارتفاع بيش از 3/5 متر و حداكثر 5/5 متر باشد.</t>
  </si>
  <si>
    <t>060403</t>
  </si>
  <si>
    <t>تهيه وسايل و قالب‌بندي با استفاده از قالب فلزي در تاوه‌ها (دال‌ها) كه ارتفاع بيش از 5/5 متر و حداكثر 7/5 متر باشد.</t>
  </si>
  <si>
    <t>060404</t>
  </si>
  <si>
    <t>تهيه وسايل و قالب‌بندي با استفاده از قالب فلزي در تاوه‌ها (دال‌ها) كه ارتفاع بيش از 7/5 متر و حداكثر10 متر باشد.</t>
  </si>
  <si>
    <t>060405</t>
  </si>
  <si>
    <t>تهيه وسايل و قالب‌بندي با استفاده از قالب فلزي براي سقف‌هاي مركب(composite).</t>
  </si>
  <si>
    <t>تهيه وسايل و قالب‌بندي با استفاده از قالب فلزي در تيرهاي بتني تا ارتفاع حداكثر 3/5 متر.</t>
  </si>
  <si>
    <t>060502</t>
  </si>
  <si>
    <t>تهيه وسايل و قالب‌بندي با استفاده از قالب فلزي در تيرهاي بتني كه ارتفاع بيش از 3/5 متر و حداكثر 5/5 متر باشد.</t>
  </si>
  <si>
    <t>060503</t>
  </si>
  <si>
    <t>تهيه وسايل و قالب‌بندي با استفاده از قالب فلزي در تيرهاي بتني كه ارتفاع بيش از 5/5 متر و حداكثر 7/5 متر باشد.</t>
  </si>
  <si>
    <t>060504</t>
  </si>
  <si>
    <t>تهيه وسايل و قالب‌بندي با استفاده از قالب فلزي در تيرهاي بتني كه ارتفاع بيش از 7/5 متر و حداكثر 10 متر باشد.</t>
  </si>
  <si>
    <t>060601</t>
  </si>
  <si>
    <t>تهيه وسايل و قالب‌بندي با استفاده از قالب فلزي در شناژهاي افقي روي ديوار در هر ارتفاع.</t>
  </si>
  <si>
    <t>060701</t>
  </si>
  <si>
    <t>تهيه وسايل و قالب‌بندي با استفاده از قالب فلزي در پله‌هاي بتني شامل تير، تاوه، دست انداز، كف پله و مانند آن به طور كامل در هر ارتفاع و به هرشكل.</t>
  </si>
  <si>
    <t>اضافه بها براي قالب‌بندي جدار خارجي ديوارها، تيرها و ستون‌ها، با استفاده از قالب فلزي.</t>
  </si>
  <si>
    <t>060802</t>
  </si>
  <si>
    <t>اضافه بها به رديف‌هاي 060201 تا 060204، در صورتي كه به جاي بولت از فاصله نگهدارهاي مخصوص با صفحه آب بند استفاده شود.</t>
  </si>
  <si>
    <t>060803</t>
  </si>
  <si>
    <t>اضافه بها به رديف‌هاي قالب‌بندي با استفاده از قالب فلزي، براي سطوح منحني به استثناي ستون‌ها.</t>
  </si>
  <si>
    <t>060804</t>
  </si>
  <si>
    <t>اضافه بها به رديف‌هاي 060301 تا 060304، ولي با مقاطع منحني و غير چهار ضلعي.</t>
  </si>
  <si>
    <t>060805</t>
  </si>
  <si>
    <t>اضافه بها قالب‌بندي براي سطوح شيبدار با استفاده از قالب فلزي درصورتيكه شيب بيش از 5 درصد باشد.</t>
  </si>
  <si>
    <t>060806</t>
  </si>
  <si>
    <t>اضافه بها به رديف‌هاي قالب‌بندي با استفاده ازقالب فلزي درصورتي كه عمليات قالب‌بندي زير تراز آبهاي زيرزميني انجام شود و آبكشي با تلمبه موتوري در حين اجراي كار ضروري باشد.</t>
  </si>
  <si>
    <t>060807</t>
  </si>
  <si>
    <t>اضافه بها به ردیفهای قالب بندی دیوارها ، تیرها، ستون ها، تاوه ها (دال ها)در صورتی که به جای ورق فلزی در تماس با بتن از تخته چند لایه با روکش لاکی از جنس پلیمر (ply wood) استفاده شود.</t>
  </si>
  <si>
    <t>060808</t>
  </si>
  <si>
    <t>اضافه بها بابت قالب بندی دال های داخلی سازه های فرآیندی تصفیه خانه های آب و فاضلاب، که دارای انحنا یا شکست در ارتفاع بوده و مجموع سطوح قالب بنندی هر یک از آنها تا 25 متر مربع باشد.</t>
  </si>
  <si>
    <t>060901</t>
  </si>
  <si>
    <t>قالب‌بندي درز انبساط دربتن با قالب فلزي، با تمام وسايل لازم به استثناي كف‌سازي‌هاي بتني برحسب حجم درز.</t>
  </si>
  <si>
    <t>060902</t>
  </si>
  <si>
    <t>تعبيه انواع درزكف سازي‌هاي بتني درموقع اجرا با قالب فلزي، با تمام وسايل لازم بدون پركردن آن برحسب حجم درز.</t>
  </si>
  <si>
    <t>060903</t>
  </si>
  <si>
    <t>تهيه وسايل، ساخت قالب به منظور تعبيه بازشو (openning) و جايگذاري آن براي بتن‌ريزي و خارج کردن آن. اندازه‌گيري بر حسب سطح جانبي بتن محل باز شو.</t>
  </si>
  <si>
    <t>060904</t>
  </si>
  <si>
    <t>نصب نازل در قطعات بتني پيش‌ساخته براي کارهاي تصفيه آب.</t>
  </si>
  <si>
    <t>061001</t>
  </si>
  <si>
    <t>قالب‌بندي با استفاده از قالب فلزي، پشت بند، چوب‌بست، داربست، سکوها و تمام تجهيزات لازم براي قالب‌هاي لغزنده قايم، با سطح مقطع ثابت.</t>
  </si>
  <si>
    <t>061002</t>
  </si>
  <si>
    <t>قالب‌بندي با استفاده از قالب فلزي، پشت بند، چوب‌بست و داربست و سكوها و تمام تجهيزات لازم براي قالب لغزنده قايم در صورتي كه سطح مقطع سازه متغير باشد.</t>
  </si>
  <si>
    <t>061003</t>
  </si>
  <si>
    <t>اضافه بها به رديف‌هاي قالب‌بندي ديوارها در صورتي‌که قالب به شکل هرمي يا مخروطي در سيلوها، تصفيه‌خانه‌ها و مانند آن‌ها اجرا شود.</t>
  </si>
  <si>
    <t>تهيه، بريدن، خم كردن و كار گذاشتن ميل گرد ساده به قطر تا 10 ميلي‌متر، براي بتن مسلح با سيم پيچي لازم.</t>
  </si>
  <si>
    <t>070102</t>
  </si>
  <si>
    <t>تهيه، بريدن، خم كردن و كار گذاشتن ميل گرد ساده به قطر 12 تا 18 ميلي‌متر براي بتن مسلح با سيم پيچي لازم.</t>
  </si>
  <si>
    <t>070103</t>
  </si>
  <si>
    <t>تهيه، بريدن، خم كردن و كار گذاشتن ميل گرد ساده به قطر20 و بيش از 20 ميلي‌متر براي بتن مسلح با سيم پيچي لازم.</t>
  </si>
  <si>
    <t>تهيه، بريدن، خم كردن و كار گذاشتن ميل گرد آجدار از نوع AII به قطر تا 10 ميلي‌متر، براي بتن مسلح با سيم پيچي لازم .</t>
  </si>
  <si>
    <t>070202</t>
  </si>
  <si>
    <t>تهيه، بريدن، خم كردن و كار گذاشتن ميل گرد آجدار از نوع AII به قطر 12 تا 18 ميلي‌متر، براي بتن مسلح با سيم پيچي لازم.</t>
  </si>
  <si>
    <t>070203</t>
  </si>
  <si>
    <t>تهيه، بريدن، خم كردن و كار گذاشتن ميل گرد آجدار از نوع AII به قطر20 و بيش از20 ميلي‌متر، براي بتن مسلح با سيم پيچي لازم.</t>
  </si>
  <si>
    <t>تهيه، بريدن، خم كردن و كار گذاشتن ميل گردآجدار از نوع AIII به قطر تا10 ميلي‌متر، براي بتن مسلح با سيم پيچي لازم .</t>
  </si>
  <si>
    <t>تهيه، بريدن، خم كردن و كار گذاشتن ميل گردآجدار از نوع AIII به قطر 12 تا 18 ميلي‌متر، براي بتن مسلح با سيم پيچي لازم .</t>
  </si>
  <si>
    <t>تهيه، بريدن، خم كردن و كار گذاشتن ميل گردآجدار از نوع AIII به قطر20 و بيش از20 ميلي‌متر، براي بتن مسلح با سيم پيچي لازم .</t>
  </si>
  <si>
    <t>070208</t>
  </si>
  <si>
    <t>تهيه، بريدن، خم كردن و كار گذاشتن ميل گردآجدار از نوع A4 به قطر14 تا 18 ميلي‌متر، براي بتن مسلح با سيم پيچي لازم .</t>
  </si>
  <si>
    <t>070209</t>
  </si>
  <si>
    <t>تهيه، بريدن، خم كردن و كار گذاشتن ميل گردآجدار از نوع A4 به قطر20 و بيش از20 ميلي‌متر، براي بتن مسلح با سيم پيچي لازم .</t>
  </si>
  <si>
    <t>اضافه بهاي مصرف ميل گرد، وقتي به صورت خرپا در تيرچه‌هاي پيش ساخته سقف سبك بتني مصرف شود.</t>
  </si>
  <si>
    <t>070302</t>
  </si>
  <si>
    <t>تهيه و اجراي ميل‌گرد، سپري، ناوداني يا نبشي ، مقاطع ساخته شدهاز ورق یا سایر موارد مشابه در ديوارهاي بنايي غير باربر براي مهار ديوار به ستون‌ها يا تير.</t>
  </si>
  <si>
    <t>070501</t>
  </si>
  <si>
    <t>اضافه بها به رديف‌هاي ميل‌گرد، چنانچه عمليات پايين تراز آب‌هاي زيرزميني انجام شود و آبكشي با تلمبه موتوري در حين اجراي كار ضروري باشد.</t>
  </si>
  <si>
    <t>070601</t>
  </si>
  <si>
    <t>تهيه و نصب ميل مهار با جوشكاري لازم.</t>
  </si>
  <si>
    <t>070602</t>
  </si>
  <si>
    <t>تهيه و نصب ميل مهار با پيچ و مهره.</t>
  </si>
  <si>
    <t>070603</t>
  </si>
  <si>
    <t>تهيه، ساخت و نصب، ميل مهار دنده شده (بولت) از هر نوع ميل گرد، با پيچ و مهره مربوط و كارگذاري در محل‌هاي لازم، قبل از بتن‌ريزي.</t>
  </si>
  <si>
    <t>070604</t>
  </si>
  <si>
    <t>تهيه مصالح و وسايل و اجرا ي بست به‌وسيله تپانچه.</t>
  </si>
  <si>
    <t>070605</t>
  </si>
  <si>
    <t>تهيه و نصب ميل مهار دو سر رزوه با مهره تا قطر 50 میلی متر.</t>
  </si>
  <si>
    <t>070606</t>
  </si>
  <si>
    <t>تهيه و نصب انکربولت، ميل‌مهار و استاد (stud bolt) با مهره مربوط از فولاد ST52 تا ST90 تا قطر 50 میلی متر.</t>
  </si>
  <si>
    <t>070607</t>
  </si>
  <si>
    <t>اضافه بها به رديف‌هاي 070605 و 070606 در صورتي که قطر بولت بيش از 50 ميلي‌متر باشد.</t>
  </si>
  <si>
    <t>070701</t>
  </si>
  <si>
    <t>تهيه كابل ساده براي اجراي مهار تنيده.</t>
  </si>
  <si>
    <t>070702</t>
  </si>
  <si>
    <t>تهيه كابل روكش دار براي اجراي مهار تنيده.</t>
  </si>
  <si>
    <t>070703</t>
  </si>
  <si>
    <t>اجراي عمليات كشش مهار ناتنيده (ميل مهار) به ازاي هر مهار.</t>
  </si>
  <si>
    <t>070704</t>
  </si>
  <si>
    <t>اجراي عمليات كشش مهار تنيده دو رشته اي به ازاي هر مهار.</t>
  </si>
  <si>
    <t>070705</t>
  </si>
  <si>
    <t>اضافه بها به رديف 070704 به ازاي هر رشته كابل مازاد بر دو رشته كه در مهار تنيده افزوده مي شود تا 5 رشته.</t>
  </si>
  <si>
    <t>080101</t>
  </si>
  <si>
    <t>تهيه و اجراي بتن با شن و ماسه شسته طبيعي يا شكسته، با 100 كيلو گرم سيمان در متر مكعب بتن.</t>
  </si>
  <si>
    <t>تهيه و اجراي بتن با شن و ماسه شسته طبيعي يا شكسته، با 150 كيلو گرم سيمان در متر مكعب بتن.</t>
  </si>
  <si>
    <t>080103</t>
  </si>
  <si>
    <t>تهيه و اجراي بتن با شن و ماسه شسته طبيعي يا شکسته با مقاومت فشاري مشخصه 12 مگاپاسكال.</t>
  </si>
  <si>
    <t>تهيه و اجراي بتن با شن و ماسه شسته طبيعي يا شکسته با مقاومت فشاري مشخصه 16 مگاپاسكال.</t>
  </si>
  <si>
    <t>080105</t>
  </si>
  <si>
    <t>تهيه و اجراي بتن با شن و ماسه شسته طبيعي يا شکسته با مقاومت فشاري مشخصه 20 مگاپاسكال.</t>
  </si>
  <si>
    <t>تهيه و اجراي بتن با شن و ماسه شسته طبيعي يا شکسته با مقاومت فشاري مشخصه 25 مگاپاسكال.</t>
  </si>
  <si>
    <t>تهيه و اجراي بتن با شن و ماسه شسته طبيعي يا شکسته با مقاومت فشاري مشخصه 30 مگاپاسكال.</t>
  </si>
  <si>
    <t>080108</t>
  </si>
  <si>
    <t>تهيه و اجراي بتن با شن و ماسه شسته طبيعي يا شکسته با مقاومت فشاري مشخصه 35 مگاپاسكال.</t>
  </si>
  <si>
    <t>080109</t>
  </si>
  <si>
    <t>تهيه و اجراي بتن با شن و ماسه شسته طبيعي يا شکسته با مقاومت فشاري مشخصه 40 مگاپاسكال.</t>
  </si>
  <si>
    <t>080110</t>
  </si>
  <si>
    <t>تهيه و اجراي بتن با شن و ماسه شسته طبيعي يا شکسته با مقاومت فشاري مشخصه بيش از 40 مگاپاسكال.</t>
  </si>
  <si>
    <t>اضافه بها به رديف‌هاي 080101 تا 080110، در صورتي كه از سنگ شكسته كوهي استفاده شده باشد.</t>
  </si>
  <si>
    <t>080201</t>
  </si>
  <si>
    <t>تهيه و اجراي بتن سبك با پوكه معدني و 150 كيلوگرم سيمان در متر مكعب بتن.</t>
  </si>
  <si>
    <t>080202</t>
  </si>
  <si>
    <t>تهيه و اجراي بتن سبك با پوكه صنعتي و 150 كيلوگرم سيمان در متر مكعب بتن.</t>
  </si>
  <si>
    <t>080203</t>
  </si>
  <si>
    <t>تهيه و اجراي بتن سبك با خرده آجر حاصل از آجرچيني و150 كيلوگرم سيمان در متر مكعب بتن.</t>
  </si>
  <si>
    <t>080204</t>
  </si>
  <si>
    <t>تهيه و اجراي بتن سبك، با مواد شيميايي كف‌زا يا مشابه آن، با 150 كيلوگرم سيمان در مترمكعب بتن با وزن مخصوص حداكثر800 كيلوگرم در متر مكعب (وزن مخصوص بتن سخت شده ملاك است).</t>
  </si>
  <si>
    <t>080205</t>
  </si>
  <si>
    <t>اضافه بها به رديف 080203 براي آن بخش از بتن سبک که خرده آجر آن از خارج از کارگاه تهيه شود.</t>
  </si>
  <si>
    <t>اضافه بها براي بتن‌ريزي ستون‌ها، ديوارها و همچنين شناژها و تيرهايي كه جدا از سقف بتن‌ريزي شوند.</t>
  </si>
  <si>
    <t>اضافه بها براي بتن‌ريزي سقف‌ها و تيرها و شناژهايي كه همراه سقف بتن‌ريزي شوند.</t>
  </si>
  <si>
    <t>080303</t>
  </si>
  <si>
    <t>اضافه بها براي بتن‌ريزي سقف‌ها، تير و شناژهايي كه همراه سقف بتن‌ريزي مي‌شوند در سقف‌هاي شيب‌دار با شيب بيش از20 درصد نسبت به افق، يا سقف‌هاي قوسي كه سطح روي آن‌ها نياز به قالب‌بندي نداشته باشد.</t>
  </si>
  <si>
    <t>080304</t>
  </si>
  <si>
    <t>اضافه بها به رديف‌هاي بتن‌ريزي، هرگاه ضخامت، بتن برابر 15 سانتي‌متر يا كمتر باشد.</t>
  </si>
  <si>
    <t>080305</t>
  </si>
  <si>
    <t>اضافه بها براي كرم‌بندي به منظور هدايت آب (حجم كل بتن كه براي آن كرم‌بندي انجام شده ملاك محاسبه است).</t>
  </si>
  <si>
    <t>080306</t>
  </si>
  <si>
    <t>اضافه بها براي بتن كف‌سازي‌ها با هر وسيله و به هر ضخامت.</t>
  </si>
  <si>
    <t>080307</t>
  </si>
  <si>
    <t>اضافه بها براي هرنوع بتن‌ريزي كه پايين تراز آب انجام شود و آبكشي حين انجام كار با تلمبه موتوري الزامي باشد.</t>
  </si>
  <si>
    <t>080308</t>
  </si>
  <si>
    <t>ليسه‌اي كردن و پرداخت سطوح بتني در صورت لزوم.</t>
  </si>
  <si>
    <t>080309</t>
  </si>
  <si>
    <t>مضرس كردن، آجدار كردن يا راه‌راه كردن سطوح بتني رامپ‌ها و موارد مشابه.</t>
  </si>
  <si>
    <t>اضافه بها به رديف‌هاي بتن‌ريزي، در صورت مصرف بتن در بتن مسلح.</t>
  </si>
  <si>
    <t>080311</t>
  </si>
  <si>
    <t>اضافه بها به رديف‌هاي بتن‌ريزي براي سختي ارتعاش بتن، در صورتي که ميل‌گرد به کار رفته بيش از 180 کيلو گرم در متر مکعب بتن باشد.</t>
  </si>
  <si>
    <t>080312</t>
  </si>
  <si>
    <t>تهيه مصالح و اجراي ملات روي بتن کف به ضخامت يک سانتي‌متر به منظور سخت سازي بتن براي افزايش مقاومت در مقابل سايش.</t>
  </si>
  <si>
    <t>080313</t>
  </si>
  <si>
    <t>تهيه مصالح و اجراي ملات روي بتن کف به ضخامت دو سانتي‌متر به منظور سخت سازي بتن براي افزايش مقاومت در مقابل سايش.</t>
  </si>
  <si>
    <t>080314</t>
  </si>
  <si>
    <t>اضافه بها براي بتن‌ريزي پي‌ها با دقت پرداخت يک ميلي‌متر بر متر (1 mm/m) و يا دقت بيشتر.</t>
  </si>
  <si>
    <t>080401</t>
  </si>
  <si>
    <t>اضافه بها براي مصرف سيمان اضافي، نسبت به عيار درج شده در رديف‌هاي مربوط.</t>
  </si>
  <si>
    <t>080501</t>
  </si>
  <si>
    <t>تهيه و اجراي گروت براي زيربيس پليت و محل‌هاي لازم.</t>
  </si>
  <si>
    <t>080502</t>
  </si>
  <si>
    <t>تهيه و اجراي گروت اپوکسي براي زيربيس پليت و محل‌هاي لازم.</t>
  </si>
  <si>
    <t>080503</t>
  </si>
  <si>
    <t>تهیه و مصرف ژل میکروسیلیس برای آب بندی و ارتقای مشخصات پایایی بتن در مخازن آب و تصفیه خانه های آب و فاضلاب.</t>
  </si>
  <si>
    <t>080601</t>
  </si>
  <si>
    <t>تهيه مصالح و اجراي عمليات تزريق تا 30 ليتر دوغاب در متر طول مهار.</t>
  </si>
  <si>
    <t>080602</t>
  </si>
  <si>
    <t>اضافه بها به رديف 080601 بابت تزريق بيش از 30 ليتر دوغاب در متر طول مهار به ازاي هر ليتر دوغاب.</t>
  </si>
  <si>
    <t>080603</t>
  </si>
  <si>
    <t>اضافه بها به رديف هاي 080601 و 080602 به منظور آماده سازي مهار تنيده براي تامين طول محدوده تزريق.</t>
  </si>
  <si>
    <t>080701</t>
  </si>
  <si>
    <t>تهيه و اجراي بتن پاشي ديواره هاي خاكي به روش خشك با بتن عيار 400 كيلوگرم سيمان در هر مترمكعب، به ازاي هر سانتيمتر ضخامت.</t>
  </si>
  <si>
    <t>090101</t>
  </si>
  <si>
    <t>تهيه، ساخت و نصب ستون از يك تيرآهن.</t>
  </si>
  <si>
    <t>090102</t>
  </si>
  <si>
    <t>تهيه، ساخت و نصب ستون از يك قوطي و يا لوله.</t>
  </si>
  <si>
    <t>تهيه و نصب ستون متشكل از دو يا چند تيرآهن يا ناوداني، در صورتي كه تسمه و ورق‌هاي تقويتي و وصله به كار نرفته باشد و به وسيله جوش مستقيما به يكديگر متصل شوند.</t>
  </si>
  <si>
    <t>090104</t>
  </si>
  <si>
    <t>تهيه و نصب ستون متشكل از يك يا چند تيرآهن يا ناوداني يا نبشي، كه وصله‌هاي اتصال و يا ورق‌هاي تقويتي در آن به كار رفته باشد، به‌طور كامل.</t>
  </si>
  <si>
    <t>090105</t>
  </si>
  <si>
    <t>تهيه، ساخت و نصب ستون‌هاي مشبك از انواع تيرآهن، ناوداني، نبشي و مانند آن، با جوشكاري، ساييدن، وصله و اتصال‌هاي مربوط به‌ساخت آن‌ها.</t>
  </si>
  <si>
    <t>090106</t>
  </si>
  <si>
    <t>تهيه و نصب ستون از ورق با مقطع چهارگوش، H و شکل‌هاي ديگر.</t>
  </si>
  <si>
    <t>090202</t>
  </si>
  <si>
    <t>تهيه، ساخت و كار گذاشتن تير، ساده (تيرريزي ساده) از دو يا چند تيرآهن با اتصال‌هاي مربوط و يا به طريق جوشكاري مستقيم به يكديگر.</t>
  </si>
  <si>
    <t>090203</t>
  </si>
  <si>
    <t>تهيه و نصب پرلين روي سطوح شيبدار اسكلت فلزي يا خرپا از پروفيل Z با وصله‌هاي طولي پرلين‌ها به يكديگر و پيچ و مهره لازم، قطعات اتصالي به اسكلت فلزي يا خرپا.</t>
  </si>
  <si>
    <t>090204</t>
  </si>
  <si>
    <t>تهيه و نصب پرلين روي سطوح شيبدار اسكلت فلزي يا خرپا از ناوداني با وصله‌هاي طولي پرلين‌ها به يكديگر و قطعات اتصالي به اسكلت فلزي يا خرپا.</t>
  </si>
  <si>
    <t>090205</t>
  </si>
  <si>
    <t>تهيه و نصب پرلين روي سطوح شيبدار اسكلت فلزي يا خرپا با تيرآهن، با وصله‌هاي طولي پرلين‌ها به يكديگر و قطعات اتصالي به اسكلت فلزي يا خرپا.</t>
  </si>
  <si>
    <t>090206</t>
  </si>
  <si>
    <t>تهيه، ساخت و نصب تير پله از تيرآهن يا ناوداني، با تمام عمليات برشكاري، جوشكاري و اتصال‌هاي مربوط همراه با وصله‌هاي لازم براي اتصال به عضو ديگر.</t>
  </si>
  <si>
    <t>090207</t>
  </si>
  <si>
    <t>تهيه، ساخت و نصب جويست (تير مشبك سبك)، متشكل از نبشي، سپري، تسمه و ميل گرد، با جوشكاري و ساييدن.</t>
  </si>
  <si>
    <t>090208</t>
  </si>
  <si>
    <t>تهيه، ساخت و نصب انواع پل‌هاي فلزي روي آبروها و كانال‌ها از ناوداني، تيرآهن، ورق و ساير پروفيل‌هاي لازم با جوشكاري و ساييدن.</t>
  </si>
  <si>
    <t>090209</t>
  </si>
  <si>
    <t>تيرريزي داخل تيرهاي حمال با تيرآهن به صورت تودلي، به منظور پوشش، با برش و جوشكاري لازم. بهاي نبشي و قطعات اتصالي نيز از همين رديف پرداخت مي شود.</t>
  </si>
  <si>
    <t>090210</t>
  </si>
  <si>
    <t>تهيه و نصب تيرحمال متشكل از يك تيرآهن يا ناوداني بدون وصله يا ورق‌هاي تقويتي، همراه با جوشكاري‌هاي لازم در محل اتصال با عضو ديگر.</t>
  </si>
  <si>
    <t>090211</t>
  </si>
  <si>
    <t>تهيه، ساخت و نصب تير حمال، متشكل از يك تيرآهن يا ناوداني با وصله يا ورق‌هاي تقويتي، با برش، جوشكاري و ساييدن همراه با جوشكاري در محل اتصال با عضو ديگر.</t>
  </si>
  <si>
    <t>090212</t>
  </si>
  <si>
    <t>تهيه، ساخت و نصب تير حمال، متشكل از دو يا چند تيرآهن يا ناوداني، در صورتي كه ورق‌هاي اتصال و وصله‌هاي تقويتي در آن به‌كار رفته باشد، با برشكاري، جوشكاري و ساييدن همراه با جوشكاري در محل اتصال با عضو ديگر.</t>
  </si>
  <si>
    <t>090213</t>
  </si>
  <si>
    <t>تهيه و ساخت تيرهاي مشبك به اشكال مختلف، متشكل از تيرآهن، ناوداني، نبشي، سپري، ورق و تسمه و نصب آن براي دهانه تا20 متر در هر ارتفاع، شامل شابلون سازي، بريدن، جوشكاري و ساييدن با وصله‌هاي اتصال و قطعات اتصالي به اعضاي ديگر.</t>
  </si>
  <si>
    <t>090214</t>
  </si>
  <si>
    <t>تهيه و ساخت تيرهاي مشبك به اشكال مختلف، متشكل از تيرآهن، ناوداني نبشي، سپري، ورق و تسمه و نصب آن براي دهانه بيش از 20 متر تا 30 متر در هر ارتفاع، شامل شابلون سازي بريدن، جوشكاري و ساييدن با وصله‌هاي اتصال و قطعات اتصالي به اعضاي ديگر.</t>
  </si>
  <si>
    <t>090215</t>
  </si>
  <si>
    <t>تهيه، ساخت و نصب تير و يا تيرهاي حمال از ورق به شکل تير آهن يا اشکال ديگر با ورق‌هاي اتصالي وصله‌هاي تقويتي لازم با برشکاري، جوش‌کاري و ساييدن همراه با جوش‌کاري در محل اتصال با عضو ديگر.</t>
  </si>
  <si>
    <t>090216</t>
  </si>
  <si>
    <t>اضافه بها به رديف‌هاي 090106، 090214 و 090215 در صورتي که براي نصب اسکلت به جاي جوش از پيچ و مهره استفاده شود همراه با سوراخ کاري.</t>
  </si>
  <si>
    <t>090217</t>
  </si>
  <si>
    <t>اضافه بها به رديف 090204 در صورتي که پرلين به صورت قايم (girt) نصب شود.</t>
  </si>
  <si>
    <t>090218</t>
  </si>
  <si>
    <t>اضافه بها به رديف 090216، در صورتي که از پيچ و مهره مخصوص که نياز به "ترک‌متر" ندارند استفاده شود.</t>
  </si>
  <si>
    <t>090301</t>
  </si>
  <si>
    <t>تهيه و ساخت خرپاهاي فلزي به اشكال مختلف، مركب از تيرآهن، ناوداني، نبشي، ورق، تسمه و غيره و نصب آن براي دهانه تا 20 متر در هر ارتفاع، شامل شابلون سازي، بريدن، جوشكاري، ساييدن با وصله‌هاي اتصال.</t>
  </si>
  <si>
    <t>090302</t>
  </si>
  <si>
    <t>تهيه و ساخت خرپاهاي فلزي به اشكال مختلف، مركب از تيرآهن، ناوداني، نبشي، ورق، تسمه و غيره و نصب آن براي دهانه بيش از20 متر تا 30 متر در هر ارتفاع شامل شابلون‌سازي، بريدن، جوشكاري، ساييدن با وصله‌هاي اتصال.</t>
  </si>
  <si>
    <t>090303</t>
  </si>
  <si>
    <t>اضافه بها به رديف‌هاي 090301 و 090302 چنانچه براي ساخت خرپا بجاي پروفيل‌هاي ياد شده از ورق استفاده شود.</t>
  </si>
  <si>
    <t>090304</t>
  </si>
  <si>
    <t>تهیه ، ساخت و نصب نگهدارنده لوله ها در تصفیه خانه های آب و فاضلاب یا ابنیه آبی با استفاده از تیر آهن ، ناودانی، نبشی،لوله ، ورق ، تسمه و غیره به ارتفاع تا 4 متر شامل: برشکاری ، ساییدن، جوشکاری و اتصالات مربوط.</t>
  </si>
  <si>
    <t>090401</t>
  </si>
  <si>
    <t>تهيه، ساخت و نصب قا‌ب‌ها (تا دهانه30 متر)، كه جان و بال آن‌ها از ورق بريده و ساخته شده‌اند، (با ارتفاع جان متغير) با كف‌ستون‌ها، انواع ورق‌هاي اتصالي، تقويتي و اتصال‌هاي واسطه با پيچ و مهره، همراه با برشكاري، سوراخکاري، جوش‌کاري و ساييدن.</t>
  </si>
  <si>
    <t>090402</t>
  </si>
  <si>
    <t>تهيه و نصب باد بند كه هر عضو آن از يك يا چند پروفيل (نبشي، تيرآهن، ناوداني و مانند آن) تشكيل شده باشد با تمام قطعات اتصال به ستون يا تير يا اعضاي باد بند به يکديگر، برشكاري، جوشكاري و ساييدن.</t>
  </si>
  <si>
    <t>090403</t>
  </si>
  <si>
    <t>تهيه و نصب باد بند كه هر عضو آن از پروفيل لوله  تشكيل شده باشد با تمام قطعات اتصال به ستون يا تير يا اعضاي باد بند به يکديگر، برشكاري، جوشكاري و ساييدن.</t>
  </si>
  <si>
    <t>090501</t>
  </si>
  <si>
    <t>تهيه، ساخت و نصب برج‌هاي فلزي مرتفع آب، با جوشكاري، برشكاري و ساييدن و پيچ و مهره لازم به طور كامل.</t>
  </si>
  <si>
    <t>090601</t>
  </si>
  <si>
    <t>اضافه بها به رديف‌هاي تير و تيرحمال در صورت تغيير ارتفاع جان تيرآهن به روش لانه زنبوري بدون استفاده از ورق براي افزايش ارتفاع جان، با ورق‌هاي تقويتي لازم، برشكاري، جوشكاري و ساييدن.</t>
  </si>
  <si>
    <t>090602</t>
  </si>
  <si>
    <t>اضافه بها به رديف‌هاي تير و تيرحمال در صورت تغيير ارتفاع جان تيرآهن به روش لانه زنبوري، با استفاده از ورق براي افزايش جان تيرآهن، با ورق‌هاي تقويتي لازم، برشكاري، جوشكاري و ساييدن.</t>
  </si>
  <si>
    <t>090603</t>
  </si>
  <si>
    <t>اضافه بها به رديف‌هاي تير و تير حمال در صورت تغيير ارتفاع جان تيرآهن با برش به خط مستقيم در جان تيرآهن، بدون استفاده از ورق براي تغيير ارتفاع جان تيرآهن، همراه با برشكاري، جوشكاري و ساييدن لازم.</t>
  </si>
  <si>
    <t>090604</t>
  </si>
  <si>
    <t>اضافه بها به رديف‌هاي تير و تيرحمال در صورت تغيير ارتفاع جان تيرآهن با برش مستقيم در جان تيرآهن، با استفاده از ورق براي افزايش ارتفاع جان تيرآهن، همراه با برشكاري، جوشكاري و ساييدن لازم.</t>
  </si>
  <si>
    <t>090605</t>
  </si>
  <si>
    <t>اضافه بها در صورت مصرف تيرآهن بال پهن، به جاي تيرآهن معمولي.</t>
  </si>
  <si>
    <t>090606</t>
  </si>
  <si>
    <t>اضافه بها در صورت خم كردن تيرآهن ناوداني و ساير پروفيل‌هاي فلزي براي تيرهاي قوسي شكل، پله‌هاي مدور و مانند آن (فقط براي قسمت قوسي شكل).</t>
  </si>
  <si>
    <t>090607</t>
  </si>
  <si>
    <t>اضافه بها به رديف 090215 در صورت تغيير ارتفاع جان با برش خط منحني در جان، بدون استفاده از ورق براي تغيير ارتفاع جان تيرآهن، همراه با برشکاري، جوشکاري و ساييدن لازم.</t>
  </si>
  <si>
    <t>تهيه و ساخت قطعات آهني اتصالي و نصب در داخل كارهاي بتني يا بنايي قبل از اجراي كارهاي ياد شده، از نبشي، سپري، ورق، تسمه، ميل گرد، لوله و مانند آن، با شاخك‌هاي لازم، جوشكاري، برشكاري، سوراخكاري و ساييدن، به طوركامل.</t>
  </si>
  <si>
    <t>090702</t>
  </si>
  <si>
    <t>تهيه، ساخت و نصب انواع برشگير در سقف‌هاي کامپوزيت.</t>
  </si>
  <si>
    <t>090703</t>
  </si>
  <si>
    <t>تهيه و اجراي نبشي لبه پله، آبچكان و ساير موارد همراه با بريدن، جوشكاري و ساييدن.</t>
  </si>
  <si>
    <t>090704</t>
  </si>
  <si>
    <t>تهیه ساخت و نصب لوله رابط فولادی (Paddle pipe) برای نصب  در داخل کارهای بتنی در تصفیه خانه های آب و فاضلاب یا ابنیه آبی ، به همراه تسمه آب بند کننده قبل از اجرای بتن ریزی ، به طور کامل.</t>
  </si>
  <si>
    <t>090705</t>
  </si>
  <si>
    <t>اضافه بها به ردیف 90704 0 در صورتی که از فولاد زنگ نزن استفاده شود.</t>
  </si>
  <si>
    <t>090801</t>
  </si>
  <si>
    <t>جوشكاري با بعد موثر تا 5 ميلي‌متر، با ساييدن. با توجه به بند 7 مقدمه فصل.</t>
  </si>
  <si>
    <t>جوشكاري براي بعد موثر بيش از 5 ميلي‌متر تا 7 ميلي‌متر با ساييدن. با توجه به بند 7 مقدمه فصل.</t>
  </si>
  <si>
    <t>090803</t>
  </si>
  <si>
    <t>جوشكاري براي بعد موثر بيش از 7 ميلي‌متر تا10 ميلي‌متر با ساييدن. با توجه به بند 7 مقدمه فصل.</t>
  </si>
  <si>
    <t>090804</t>
  </si>
  <si>
    <t>جوشكاري براي بعد موثر بيش از 10 ميلي‌متر تا 15 ميلي‌متر با ساييدن. با توجه به بند 7 مقدمه فصل.</t>
  </si>
  <si>
    <t>090805</t>
  </si>
  <si>
    <t>اضافه بها نسبت به رديف‌هاي 090801 تا 090804 در صورت استفاده از روش جوش‌کاري با گاز محافظ.</t>
  </si>
  <si>
    <t>090901</t>
  </si>
  <si>
    <t>تهيه، ساخت و نصب اسكلت فلزي براي زيرسازي نصب سنگ پلاك به ‌طريق خشك شامل نبشي، ناوداني، تيرآهن و قوطي با جوشكاري لازم.</t>
  </si>
  <si>
    <t>091001</t>
  </si>
  <si>
    <t>تهيه و نصب پيچ و مهره با توجه به بند 7 مقدمه اين فصل.</t>
  </si>
  <si>
    <t>091101</t>
  </si>
  <si>
    <t>تهيه قطعات كوبن‌كاري با ماشين‌كاري لازم براي سازه‌هاي فضاكار با وزن قطعات تا 150 گرم.</t>
  </si>
  <si>
    <t>091102</t>
  </si>
  <si>
    <t>تهيه قطعات كوبن‌كاري با ضخامت جدار متغير بيش از 5 ميلي‌متر با ماشين‌كاري اصلاحي مانند قطعات سرلوله‌ها و پيونده‌هاي کاسان و همچنين قطعات حجيم (مثلاً کروي) با وزن بيش از 150 گرم تا يک ‌كيلوگرم.</t>
  </si>
  <si>
    <t>091103</t>
  </si>
  <si>
    <t>تهيه قطعات كوبن‌كاري حجيم (مثلاً کروي) با ماشين‌كاري اصلاحي با وزن قطعات بيش از يک ‌كيلوگرم.</t>
  </si>
  <si>
    <t>091104</t>
  </si>
  <si>
    <t>تهيه قطعات كوبن‌كاري با ماشين‌كاري اصلاحي براي سازه‌هاي فضاكار با وزن قطعات بيش از 150 گرم تا يك كيلوگرم.</t>
  </si>
  <si>
    <t>091201</t>
  </si>
  <si>
    <t>اضافه بها براي رديف‌هاي 091101 تا 091103 براي استفاده از فولاد St52.</t>
  </si>
  <si>
    <t>091301</t>
  </si>
  <si>
    <t>اضافه بها براي ماشين‌كاري استاندارد قطعات كوبن‌كاري رديف‌هاي 091102 و 091103 (براي پيونده‌هاي استاندارد) 9 سوراخه با زاويه 45.</t>
  </si>
  <si>
    <t>091401</t>
  </si>
  <si>
    <t>اضافه بها براي ماشين‌كاري سنگين قطعات كوبن‌كاري رديف‌هاي 091101 تا 091103 (براي پيونده‌هاي خاص در سازه‌هاي غير تخت و سوراخ‌كاري اضافي).</t>
  </si>
  <si>
    <t>091501</t>
  </si>
  <si>
    <t>اضافه بها براي رديف‌هاي 091101 تا 091103 براي گالوانيزه کردن قطعات.</t>
  </si>
  <si>
    <t>091601</t>
  </si>
  <si>
    <t>تهيه و آماده‌سازي واحدهاي سازه‌ فضاكار از پروفيل‌هاي مختلف از فولاد St37 شامل بريدن اجزا به اندازه‌هاي معين و پليسه‌گيري و سنگ‌زدن و مونتاژ آن‌ها در داخل جيگ و آماده‌كردن براي جوشكاري.</t>
  </si>
  <si>
    <t>091801</t>
  </si>
  <si>
    <t>اضافه بها نسبت به رديف‌ 091601 در صورتيكه وزن پروفيل يا لوله عضو كمتر از دو كيلوگرم باشد.</t>
  </si>
  <si>
    <t>091901</t>
  </si>
  <si>
    <t>اضافه بها نسبت به رديف‌ 091601 براي اضلاع حاصل از پرسكاري و نورد سرد (بجز لوله).</t>
  </si>
  <si>
    <t>092001</t>
  </si>
  <si>
    <t>اضافه بها نسبت به رديف 091601 براي استفاده از فولاد St52.</t>
  </si>
  <si>
    <t>092101</t>
  </si>
  <si>
    <t>اضافه بها نسبت به رديف 091601 براي استفاده از لوله‌هاي با ضخامت جدار بيش از 7 ميلي‌متر.</t>
  </si>
  <si>
    <t>092201</t>
  </si>
  <si>
    <t>اضافه بها نسبت به رديف 091601  براي آماده‌سازي سر اضلاع براي جوش‌کاري مستقيم به يکديگر با برشكاري طبق الگو و سنگ‌زدن.</t>
  </si>
  <si>
    <t>092202</t>
  </si>
  <si>
    <t>اضافه بها نسبت به رديف 091601 بابت دوپهن كردن سر پروفيل لوله فولادي.</t>
  </si>
  <si>
    <t>092301</t>
  </si>
  <si>
    <t>اضافه بها نسبت به رديف 091601 براي استفاده از لوله گالوانيزه.</t>
  </si>
  <si>
    <t>092401</t>
  </si>
  <si>
    <t>تهيه پيچ از رده 8/8 براي پيچ‌هاي تا قطر 24 ميلميتر و مهره از رده 8 و آماده‌ سازي آن‌ها به شکل‌هاي استاندارد در سازه فضاکار (و پين مربوط).</t>
  </si>
  <si>
    <t>092402</t>
  </si>
  <si>
    <t>تهيه پيچ از رده 8/8 براي پيچ‌هاي با قطر بيش از 24 ميلميتر و مهره از رده 8 و آماده ‌سازي آن‌ها به شکل‌هاي استاندارد در سازه فضاکار (و پين مربوط).</t>
  </si>
  <si>
    <t>092403</t>
  </si>
  <si>
    <t>اضافه بها نسبت به رديف‌هاي 092401 و 092402 براي استفاده از پيچ از رده 9/10 (و مهره رده 10).</t>
  </si>
  <si>
    <t>092501</t>
  </si>
  <si>
    <t>اضافه بها نسبت به رديف‌هاي 092401 و 092402 براي استفاده از پيچ‌هاي با گالوانيزه پودري.</t>
  </si>
  <si>
    <t>092601</t>
  </si>
  <si>
    <t>اضافه بها نسبت به رديف‌هاي 092401 و 092402 براي استفاده از پيچ‌هاي به شکل خاص (غير استاندارد).</t>
  </si>
  <si>
    <t>092701</t>
  </si>
  <si>
    <t>تهيه پيونده‌هاي ريخته‌گري شده از فولاد براي قطعات تا 50 كيلوگرم و ماشين‌كاري آن‌ها.</t>
  </si>
  <si>
    <t>092702</t>
  </si>
  <si>
    <t>تهيه پيونده‌هاي ريخته‌گري شده از فولادي براي قطعات بيش از 50 كيلوگرم و ماشين‌كاري آن‌ها.</t>
  </si>
  <si>
    <t>092801</t>
  </si>
  <si>
    <t>هزينه بافت و نصب شبکه‌هاي سازه فضا کار دو لايه يا چند لايه تخت نسبت به هزينه تهيه و آماده سازي قطعات.</t>
  </si>
  <si>
    <t>092802</t>
  </si>
  <si>
    <t>هزينه بافت و نصب شبکه‌هاي سازه فضا کار دو لايه يا چند لايه با انحنا در يک امتداد (چليک‌ها) نسبت به هزينه تهيه و آماده سازي قطعات.</t>
  </si>
  <si>
    <t>092803</t>
  </si>
  <si>
    <t>هزينه بافت و نصب شبکه‌هاي سازه فضا کار دو لايه يا چند لايه با انحنا در دو امتداد (گنبدها) نسبت به هزينه تهيه و آماده سازي قطعات.</t>
  </si>
  <si>
    <t>092804</t>
  </si>
  <si>
    <t>هزينه بافت و نصب شبکه‌هاي سازه فضا کار دو لايه داراي فرم‌هاي آزاد نسبت به هزينه تهيه و آماده سازي قطعات.</t>
  </si>
  <si>
    <t>اجراي سقف بتني به ضخامت 21 سانتي‌متر با تيرچه و بلوك توخالي بتني، شامل تهيه تمام مصالح به استثناي ميل‌گرد، و همچنين تهيه تجهيزات مورد لزوم به طور كامل.</t>
  </si>
  <si>
    <t>اجراي سقف بتني به ضخامت 25 سانتي‌متر با تيرچه و بلوك توخالي بتني، شامل تهيه تمام مصالح به استثناي ميل‌گرد، و همچنين تهيه تجهيزات مورد لزوم به طور كامل.</t>
  </si>
  <si>
    <t>اجراي سقف بتني به ضخامت 30 سانتي‌متر با تيرچه و بلوك توخالي بتني، شامل تهيه تمام مصالح به استثناي ميل‌گرد، و همچنين تهيه تجهيزات مورد لزوم به طور كامل.</t>
  </si>
  <si>
    <t>اجراي سقف بتني به ضخامت 35 سانتي‌متر با تيرچه و بلوك توخالي بتني، شامل تهيه تمام مصالح به استثناي ميل‌گرد، و همچنين تهيه تجهيزات مورد لزوم به طور كامل.</t>
  </si>
  <si>
    <t>اجراي سقف بتني به ضخامت 40 سانتي‌متر با تيرچه و بلوك توخالي بتني، شامل تهيه تمام مصالح به استثناي ميل‌گرد، و همچنين تهيه تجهيزات مورد لزوم به طور كامل.</t>
  </si>
  <si>
    <t>اجراي سقف بتني به ضخامت 21 سانتي‌متر با تيرچه و بلوك توخالي سفالي، شامل تهيه تمام مصالح به استثناي ميل‌گرد، و همچنين تهيه تجهيزات مورد لزوم به طور كامل.</t>
  </si>
  <si>
    <t>اجراي سقف بتني به ضخامت 25 سانتي‌متر با تيرچه و بلوك توخالي سفالي، شامل تهيه تمام مصالح به استثناي ميل‌گرد، و همچنين تهيه تجهيزات مورد لزوم به طور كامل.</t>
  </si>
  <si>
    <t>اجراي سقف بتني به ضخامت 30 سانتي‌متر با تيرچه و بلوك توخالي سفالي، شامل تهيه تمام مصالح به استثناي ميل‌گرد، و همچنين تهيه تجهيزات مورد لزوم به طور كامل.</t>
  </si>
  <si>
    <t>اجراي سقف بتني به ضخامت 35 سانتي‌متر با تيرچه و بلوك توخالي سفالي، شامل تهيه تمام مصالح به استثناي ميل‌گرد، و همچنين تهيه تجهيزات مورد لزوم به طور كامل.</t>
  </si>
  <si>
    <t>اجراي سقف بتني به ضخامت 40 سانتي‌متر با تيرچه و بلوك توخالي سفالي، شامل تهيه تمام مصالح به استثناي ميل‌گرد، و همچنين تهيه تجهيزات مورد لزوم به طور كامل.</t>
  </si>
  <si>
    <t>اضافه بها به رديف‌هاي سقف بتني با تيرچه و بلوك، در صورتي كه از تيرچه با كفشك سفالي (تيرچه فوندوله‌اي) استفاده شود.</t>
  </si>
  <si>
    <t>اجراي سقف بتني به ضخامت 21 سانتي‌متر با تيرچه مشبك فلزي سبك و بلوك توخالي بتني شامل تهيه تمام مصالح به استثناي تيرچه فلزي وآرماتور و همچنين تهيه تجهيزات مورد لزوم به طور كامل.</t>
  </si>
  <si>
    <t>اجراي سقف بتني به ضخامت 25 سانتي‌متر با تيرچه مشبك فلزي سبك و بلوك توخالي بتني شامل تهيه تمام مصالح به استثناي تيرچه فلزي و آرماتور و همچنين تهيه تجهيزات مورد لزوم به طور كامل.</t>
  </si>
  <si>
    <t>اجراي سقف بتني به ضخامت 30 سانتي‌متر با تيرچه مشبك فلزي سبك و بلوك توخالي بتني شامل تهيه تمام مصالح به استثناي تيرچه فلزي و آرماتور و همچنين تهيه تجهيزات مورد لزوم به طور كامل.</t>
  </si>
  <si>
    <t>اضافه بها به رديف‌هاي سقف سبك با بلوك بتني در صورتي كه در تهيه بلوك از پوكه استفاده شده باشد.</t>
  </si>
  <si>
    <t>آجركاري با آجر ماسه اهكي (سيليكاتي)، به ابعاد آجر فشاري با ضخامت يك و نيم آجر و بيشتر و ملات ماسه سيمان 1:6.</t>
  </si>
  <si>
    <t>آجر كاري باآجرماسه آهكي (سيليكاتي)، به ابعاد آجرفشاري با ضخامت يك و نيم آجر و بيشتر و ملات باتارد 1:2:8.</t>
  </si>
  <si>
    <t>آجركاري با آجر ماسه آهكي (سيليكاتي)، به ابعادآجرفشاري باضخامت يك ونيم آجر و بيشتر و ملات ماسه آهك 1:3.</t>
  </si>
  <si>
    <t>ديوار يك آجره با آجر ماسه آهكي (سيليكاتي)، به ابعاد آجر فشاري و ملات ماسه سيمان 1:6.</t>
  </si>
  <si>
    <t>ديوار يك آجره با آجر ماسه آهكي (سيليكاتي)، به ابعاد آجر فشاري با ملات، باتارد 1:2:8.</t>
  </si>
  <si>
    <t>ديوار يك آجره باآجر ماسه آهكي (سيليكاتي)، به ابعاد آجر فشاري و ملات ماسه آهك 1:3.</t>
  </si>
  <si>
    <t>ديوار نيم آجره با آجرماسه آهكي (سيليكاتي)، به ابعادآجر فشاري و ملات ماسه سيمان 1:6.</t>
  </si>
  <si>
    <t>ديوار نيم آجره با آجرماسه آهكي (سيليكاتي)، به ابعادآجر فشاري و ملات باتارد 1:2:8.</t>
  </si>
  <si>
    <t>ديوار نيم آجره با آجر ماسه آهكي (سيليكاتي)، به ابعاد آجر فشاري و ملات ماسه آهك 1:3.</t>
  </si>
  <si>
    <t>تيغه آجري با آجر ماسه آهكي (سيليكاتي)، به ضخامت 5 تا 6 سانتي‌متر، با ملات گچ و خاك.</t>
  </si>
  <si>
    <t>آجركاري با آجر فشاري به ضخامت يك و نيم آجر و بيشتر و ملات ماسه سيمان 1:6.</t>
  </si>
  <si>
    <t>آجركاري با آجر فشاري به ضخامت يك و نيم آجر و بيشتر و ملات باتارد 1:2:8.</t>
  </si>
  <si>
    <t>آجر كاري با آجر فشاري به ضخامت يك و نيم آجر و بيشتر و ملات ماسه آهك 1:3.</t>
  </si>
  <si>
    <t>آجركاري با آجرفشاري به ضخامت يك و نيم آجر و بيشتر با ملات گل آهك (100 كيلو آهك در مترمكعب ملات).</t>
  </si>
  <si>
    <t>ديوار يك آجره با آجر فشاري و ملات ماسه سيمان 1:6.</t>
  </si>
  <si>
    <t>ديوار يك آجره با آجر فشاري و ملات باتارد 1:2:8.</t>
  </si>
  <si>
    <t>ديوار يك آجره با آجر فشاري و ملات ماسه آهك 1:3.</t>
  </si>
  <si>
    <t>ديوار نيم آجره با آجر فشاري و ملات ماسه سيمان 1:6.</t>
  </si>
  <si>
    <t>ديوار نيم آجره با آجر فشاري و ملات باتارد 1:2:8.</t>
  </si>
  <si>
    <t>ديوار نيم آجره با آجر فشاري و ملات ماسه آهك 1:3.</t>
  </si>
  <si>
    <t>ديوار نيم آجره با آجرفشاري و ملات گچ و خاك.</t>
  </si>
  <si>
    <t>تيغه آجري به ضخامت 5 تا 6 سانتي‌متر، با آجر فشاري و ملات گچ و خاك.</t>
  </si>
  <si>
    <t>طاق زني بين تيرآهن (طاق ضربي)، با آجر فشاري يا ماشيني سوراخ‌دار.</t>
  </si>
  <si>
    <t>دوغاب ريزي روي طاق آجري با دوغاب سيمان.</t>
  </si>
  <si>
    <t>دوغاب ريزي روي طاق آجري با دوغاب گچ.</t>
  </si>
  <si>
    <t>اضافه بهاي سقف سازي آجري به صورت آهن گم براي نماي آجري ، نسبت به رديف‌هاي طاق زني.</t>
  </si>
  <si>
    <t>آجر كاري با بلوك سفالي (آجر تيغه‌اي) به ضخامت 8 تا11 سانتي‌متر و ملات ماسه سيمان 1:6.</t>
  </si>
  <si>
    <t>آجر كاري با بلوك سفالي (آجر تيغه‌اي) به ضخامت 12 تا 22 سانتي‌متر و ملات ماسه سيمان 1:6.</t>
  </si>
  <si>
    <t>آجركاري با بلوك سفالي (آجر تيغه‌اي) به ضخامت بيش از 22 سانتي‌متر و ملات ماسه سيمان 1:6.</t>
  </si>
  <si>
    <t>آجر كاري با آجر ماشيني سوراخ‌دار به ابعاد آجر فشاري به ضخامت يك و نيم آجر و بيشتر، با ملات ماسه سيمان 1:6.</t>
  </si>
  <si>
    <t>ديوار يك آجره با آجر ماشيني سوراخ‌دار به ابعاد آجر فشاري، با ملات ماسه سيمان 1:6.</t>
  </si>
  <si>
    <t>ديوار نيم آجره با آجر ماشيني سوراخ‌دار به ابعاد آجر فشاري، با ملات ماسه سيمان 1:6.</t>
  </si>
  <si>
    <t>تيغه آجري به ضخامت 5 تا 6 سانتي‌متر با آجر ماشيني سوراخ‌دار به ابعاد آجر فشاري، با ملات گچ و خاك.</t>
  </si>
  <si>
    <t>نماچيني با آجر ماشيني سوراخدار (سفال) به ابعاد آجرفشاري به ‌صورت نيم آجره و ملات ماسه سيمان 1:6 .</t>
  </si>
  <si>
    <t>نماچيني با آجر ماشيني سوراخ‌دار (سفال) به ضخامت حدود 4 سانتي‌متر، به‌صورت نيم آجره و ملات ماسه سيمان 1:6 .</t>
  </si>
  <si>
    <t>نماچيني باآجرماشيني سوراخ‌دار (سفال) به ضخامت حدود 3 سانتي‌متر، به‌صورت نيم آجره و ملات ماسه سيمان 1:6 .</t>
  </si>
  <si>
    <t>نما چيني با آجر قزاقي، به ابعاد آجر فشاري، به ‌صورت نيم آجره و ملات ماسه سيمان 1:6 .</t>
  </si>
  <si>
    <t>نماچيني با آجر قزاقي، به ضخامت حدود 4 سانتي‌متر، به ‌صورت نيم آجره و ملات ماسه سيمان 1:6 .</t>
  </si>
  <si>
    <t>نما چيني با آجر قزاقي ، به ضخامت حدود 3 سانتي‌متر، به ‌صورت نيم آجره و ملات ماسه سيمان 1:6 .</t>
  </si>
  <si>
    <t>اضافه بهاي نماسازي نسبت به رديف‌هاي آجرچيني با آجر فشاري ، آجر ماسه آهكي و آجر ماشيني سوراخ‌دار.</t>
  </si>
  <si>
    <t>اضافه بهاي نماسازي نسبت به رديف‌هاي آجر چيني با آجرفشاري ، درصورتي كه در نما از آجر سفال سوراخ‌دار ماشيني به ابعاد آجر فشاري استفاده شود.</t>
  </si>
  <si>
    <t>اضافه بهاي نماسازي نسبت به رديف‌هاي آجر چيني با آجر ماسه آهكي، در صورتي كه در نما از آجر سفال سوراخ‌دار ماشيني به ابعاد آجر فشاري استفاده شود.</t>
  </si>
  <si>
    <t>اضافه بهاي نما سازي نسبت به رديف‌هاي آجر چيني با آجر فشاري، در صورتي كه در نما از آجر قزاقي، به ابعاد آجر فشاري استفاده شود.</t>
  </si>
  <si>
    <t>اضافه بهاي نما سازي به رديف‌هاي آجر چيني با آجر ماسه آهكي، در صورتي كه در نما از آجر قزاقي، به ابعاد آجر فشاري استفاده شود.</t>
  </si>
  <si>
    <t>اضافه بها به رديف‌هاي نماچيني بابت آب ساب نمودن آجر.</t>
  </si>
  <si>
    <t>اضافه بها به رديف‌هاي نما چيني بابت تراش و كشويي نمودن آجر.</t>
  </si>
  <si>
    <t>اضافه بها به رديف‌هاي نماچيني، در صورتي كه آجرها به صورت هره چيده شود (اندازه گيري روي سطح قابل رويت).</t>
  </si>
  <si>
    <t>اضافه بهاي ديوار چيني به صورت ديوار دو جداره، به ازاي هر متر مربع ديوار دو جداره كه هم زمان چيده شود. (يک طرف اندازه‌گيري مي‌شود).</t>
  </si>
  <si>
    <t>اضافه بها براي هر نوع آجر كاري كه در پايين تراز آب انجام شود و آبكشي حين انجام كار با تلمبه موتوري الزامي باشد.</t>
  </si>
  <si>
    <t>اضافه بها به هر نوع آجر كاري، براي كار در داخل چاه يا قنات يا مجاري زيرزميني در هر عمق و به هر طول.</t>
  </si>
  <si>
    <t>شفته ريزي با خاك محل و 150 كيلوگرم آهك شكفته در مترمكعب شفته.</t>
  </si>
  <si>
    <t>شفته ريزي با خاك تهيه شده مناسب شن دار از خارج محل به هر فاصله، با 150 كيلوگرم آهك شكفته در مترمكعب شفته.</t>
  </si>
  <si>
    <t>اضافه بها به رديف 110901، براي اضافه كردن شن و ماسه، به اندازه هر ده درصد كه به حجم خاك محل اضافه شود.</t>
  </si>
  <si>
    <t>اضافه بها به رديف‌هاي 110901 و 110902، براي افزايش هر50 كيلو گرم آهك شكفته در مترمكعب شفته. كسر50 كيلو به تناسب محاسبه مي‌شود.</t>
  </si>
  <si>
    <t>كسربها به رديف‌هاي 110901 و 110902، براي كاهش هر 50 كيلو گرم، آهك شكفته در متر مكعب شفته. كسر 50 كيلو به تناسب محاسبه مي شود.</t>
  </si>
  <si>
    <t>نماچيني با آجر پلاك (دوغابي) با سطح مقطع تا 10 سانتي‌متر مربع باملات ماسه سيمان 1:5، شامل دوغاب‌ريزي در پشت آجر.</t>
  </si>
  <si>
    <t>نماچيني با آجر پلاك (دوغابي) با سطح مقطع بيش از 10 سانتي‌متر مربع باملات ماسه سيمان 1:5، شامل دوغاب‌ريزي در پشت آجر.</t>
  </si>
  <si>
    <t>تهيه و نصب جدول‌هاي بتني پيش ساخته با سطح مقطع تا 0/05 مترمربع با بتن به عيار250 كيلوگرم سيمان در مترمكعب و ملات ماسه سيمان 1:5.</t>
  </si>
  <si>
    <t>تهيه و نصب جدول‌هاي بتني پيش ساخته با سطح مقطع بيش از 0/05 تا 0/1 مترمربع با بتن به عيار250 كيلو گرم سيمان در مترمكعب و ملات ماسه سيمان 1:5.</t>
  </si>
  <si>
    <t>تهيه و نصب جدول‌هاي بتني پيش ساخته با سطح مقطع بيش از 0/1 متر مربع با بتن به عيار250 كيلو گرم سيمان در متر مكعب و ملات ماسه سيمان 1:5.</t>
  </si>
  <si>
    <t>تهيه و نصب جدول‌هاي پيش‌ساخته پرسي، با سطح مقطع تا 30/6 مترمربع و با حداقل مقاومت استوانه‌اي استاندارد، 280 كيلوگرم بر سانتي‌متر مربع، به همراه بند كشي و اجراي بتن تقويت جدول.</t>
  </si>
  <si>
    <t>تهيه و نصب جدول‌‌هاي پيش‌ساخته پرسي، با سطح مقطع بيش از 30/6 مترمربع و با حداقل مقاومت استوانه‌اي استاندارد، 280 كيلوگرم بر سانتي‌متر مربع، به همراه بند كشي و اجراي بتن تقويت جدول.</t>
  </si>
  <si>
    <t>تهيه و نصب دال بتني پيش ساخته (مسلح)، با عيار300 كيلو سيمان در متر مكعب، براي دال روي کانال‌ها، نهرها و يا به عنوان پل روي جوي‌ها و موارد مشابه.</t>
  </si>
  <si>
    <t>تهيه، ساخت و نصب قطعات بتني پيش ساخته براي تکيه گاه لوله (pipe sleeper) و كارهاي مشابه، با عيار 300 كيلو سيمان در متر مكعب بتن.</t>
  </si>
  <si>
    <t>تهيه و نصب قطعات بتني پيـش ساخته با عيار350 كيلو سيمان در متر مكعب و حجم تا 1/02 متر مكعب براي مسلح كردن خاك.</t>
  </si>
  <si>
    <t>تهيه و نصب قطعات بتني پيش ساخته باعيار350 كيلو سيمان در متر مكعب و حجم بيش از 1/02 تا 0/06 متر مكعب براي مسلح كردن خاك.</t>
  </si>
  <si>
    <t>تهيه و نصب لوله سيماني، به قطر داخلي 10 سانتي‌متر، با بتن به‌عيار300 كيلو سيمان در متر مكعب بتن.</t>
  </si>
  <si>
    <t>تهيه و نصب لوله سيماني، به قطر داخلي 15 سانتي‌متر، با بتن به عيار 300 كيلو سيمان در متر مكعب بتن.</t>
  </si>
  <si>
    <t>تهيه و نصب لوله سيماني، به قطر داخلي 20 سانتي‌متر، با بتن به‌عيار 300 كيلو سيمان در متر مكعب بتن.</t>
  </si>
  <si>
    <t>تهيه و نصب لوله سيماني، به قطر داخلي 25 سانتي‌متر، با بتن به‌عيار300 كيلو سيمان در متر مكعب بتن.</t>
  </si>
  <si>
    <t>تهيه و نصب لوله بتني به قطر داخلي 30 سانتي‌متر و ضخامت 6 سانتي‌متر، با بتن به‌عيار300 كيلو سيمان در متر مكعب بتن.</t>
  </si>
  <si>
    <t>تهيه و نصب لوله بتني به قطر داخلي 40 سانتي‌متر و ضخامت 6 سانتي‌متر، با بتن به‌عيار300 كيلو سيمان در مترمكعب بتن.</t>
  </si>
  <si>
    <t>تهيه و نصب لوله بتني به قطر داخلي 50 سانتي‌متر و ضخامت 6 سانتي‌متر، با بتن به‌عيار300 كيلو سيمان در متر مكعب بتن.</t>
  </si>
  <si>
    <t>تهيه و نصب لوله بتني به قطر داخلي 60 سانتي‌متر و ضخامت 8 سانتي‌متر، با بتن به‌عيار300 كيلو سيمان در متر مكعب بتن.</t>
  </si>
  <si>
    <t>تهيه و نصب لوله بتني مسلح، به قطر داخلي 60 سانتي‌متر و ضخامت 8 سانتي‌متر با بتن به‌عيار300 كيلو سيمان در متر مكعب بتن.</t>
  </si>
  <si>
    <t>تهيه و نصب لوله بتني مسلح، به قطر داخلي 80 سانتي‌متر و ضخامت 10 سانتي‌متر با بتن به‌عيار300 كيلو سيمان در متر مكعب بتن.</t>
  </si>
  <si>
    <t>تهيه و نصب لوله بتني مسلح، به قطر داخلي 1 متر و ضخامت 10 سانتي‌متر با بتن به‌عيار300 كيلو سيمان در متر مكعب بتن.</t>
  </si>
  <si>
    <t>تهيه و نصب كول‌هاي بتني مسلح پيش ساخته متشكل از سه قطعه در هر عمق، به منظور تحكيم قنات‌ها با بتن به‌عيار 300 كيلو سيمان در متر مكعب بتن و با مقطع تخم مرغي به ابعاد حدود120×80 سانتي‌متر، با پر كردن پشت كول.</t>
  </si>
  <si>
    <t>بنايي با بلوك سيماني توخالي و ملات ماسه سيمان 1:5.</t>
  </si>
  <si>
    <t>بنايي با بلوك سيماني تو خالي كف پر و ملات ماسه سيمان 1:5.</t>
  </si>
  <si>
    <t>بنايي با بلوك سيماني تو خالي به ضخامت حدود20 سانتي‌متر و ملات ماسه سيمان 1:5.</t>
  </si>
  <si>
    <t>بنايي با بلوك سيماني توخالي كف پر به ضخامت حدود20 سانتي‌متر و ملات ماسه سيمان 1:5.</t>
  </si>
  <si>
    <t>بنايي با بلوك سيماني تو خالي به ضخامت حدود10 سانتي‌متر و ملات ماسه سيمان 1:5.</t>
  </si>
  <si>
    <t>بنايي با بلوك سيماني توخالي كف پر به ضخامت حدود 10 سانتي‌متر و ملات ماسه سيمان 1:5.</t>
  </si>
  <si>
    <t>اضافه بها به رديف‌هاي بنايي با بلوک، در صورتي که ديوار با ميل مهار تقويت شده باشد.</t>
  </si>
  <si>
    <t>بنايي باآجر سيماني به ابعاد آجر فشاري و ملات ماسه سيمان 1:5، به ضخامت 1/5 آجر و بيشتر.</t>
  </si>
  <si>
    <t>بنايي باآجر سيماني به ابعاد آجر فشاري، براي ديوارسازي به ضخامت يك آجر با ملات ماسه سيمان 1:5.</t>
  </si>
  <si>
    <t>بنايي با آجر سيماني به ابعاد آجر فشاري، براي ديوار سازي به‌ضخامت نيم آجر با ملات ماسه سيمان 1:5.</t>
  </si>
  <si>
    <t>پر كردن حفره‌هاي بلوك‌هاي سيماني تو خالي با ملات ماسه سيمان 1:5 به ازاي هر متر مكعب حجم بلوك چيني.</t>
  </si>
  <si>
    <t>اضافه بها به رديف‌هاي بلوك چيني كه در پايين تراز آب انجام شود و استفاده از تلمبه موتوري حين اجراي عمليات الزامي باشد.</t>
  </si>
  <si>
    <t>اضافه بهاي نما چيني با بلوك سيماني.</t>
  </si>
  <si>
    <t>اضافه بهاي نماچيني با آجر سيماني به ابعاد آجر فشاري.</t>
  </si>
  <si>
    <t>بنايي با بلوك‌هاي بتني پيش ساخته از بتن سبك (بتن گازي) باملات مخصوص یا ملات ماسه سيمان 1:5 به ضخامت تا10 سانتي‌متر.</t>
  </si>
  <si>
    <t>بنايي با بلوك‌هاي بتني پيش ساخته از بتن سبك (بتن گازي) با ملات  مخصوص یا ملات ماسه سيمان 1:5 به ضخامت بيشتر از 10 سانتي‌متر تا 15 سانتي‌متر.</t>
  </si>
  <si>
    <t>بنايي با بلوك‌هاي بتني پيش ساخته از بتن سبك (بتن گازي) باملات مخصوص یا ملات ماسه سيمان 1:5 به ضخامت بيشتر از 15 سانتي‌متر تا20 سانتي‌متر.</t>
  </si>
  <si>
    <t>بنايي با بلوك‌هاي بتني پيش ساخته از بتن سبك (بتن گازي) باملات مخصوص  یا ملات ماسه سيمان 1:5 به ضخامت بيشتر از 20 سانتي‌متر تا 25 سانتي‌متر.</t>
  </si>
  <si>
    <t>بنايي با بلوك‌هاي بتني پيش ساخته از بتن سبك (بتن گازي) باملات مخصوص یا ملات ماسه سيمان 1:5 به ضخامت بيشتر از 25 سانتي‌متر تا30 سانتي‌متر.</t>
  </si>
  <si>
    <t>تهيه مصالح، حمل و اجراي كفپوش‌هاي بتني پيش‌ساخته پرسي، به ضخامت 4 تا 5 سانتي‌متر و به سطح تا 16 دسي‌مترمربع، براي هر كفپوش، با هر نوع ملات ماسه سيمان.</t>
  </si>
  <si>
    <t>تهيه مصالح، حمل و اجراي كفپوش‌هاي بتني پيش‌ساخته پرسي، به ضخامت 4 تا 5 سانتي‌متر و به سطح بيش از 16 دسي‌مترمربع، براي هر كفپوش، با هر نوع ملات ماسه سيمان.</t>
  </si>
  <si>
    <t>تهيه مصالح، حمل و اجراي كفپوش‌هاي بتني پيش‌ساخته ويبره‌اي، به ضخامت 4 تا 5 سانتي‌متر و به سطح تا 16 دسي‌مترمربع، براي هر كفپوش، با هر نوع ملات ماسه سيمان.</t>
  </si>
  <si>
    <t>تهيه مصالح، حمل و اجراي كفپوش‌هاي بتني پيش‌ساخته ويبره‌اي، به ضخامت 4 تا 5 سانتي‌متر و به سطح بيش از 16 دسي‌مترمربع، براي هر كفپوش، با هر نوع ملات ماسه سيمان.</t>
  </si>
  <si>
    <t>اضافه بهاي طرح‌دار بودن كفپوش بتني پيش‌ساخته پرسي.</t>
  </si>
  <si>
    <t>اضافه بهاي رنگي بودن كفپوش بتني پيش‌ساخته  پرسي.</t>
  </si>
  <si>
    <t>بنايي با بلوك سيماني توخالي كف پر تهيه شده با دانه رس منبسط شده‏، به ضخامت تا 10 سانتي‌متر با ملات ماسه و سيمان 1:5.</t>
  </si>
  <si>
    <t>بنايي با بلوك سيماني توخالي كف پر تهيه شده با دانه رس منبسط شده، به ضخامت حدود 15 سانتي‌متر با ملات ماسه و سيمان 1:5.</t>
  </si>
  <si>
    <t>بنايي با بلوك سيماني توخالي كف پر تهيه شده با دانه رس منبسط شده‏‏‏، به ضخامت حدود 20 سانتي‌متر با ملات ماسه و سيمان 1:5.</t>
  </si>
  <si>
    <t>اضافه بها به رديف‌هاي 121002 و 121003 در صورت سه جداره بودن بلوك‌هاي مصرفي.</t>
  </si>
  <si>
    <t>اضافه بها به رديف‌هاي 121001 تا 121003 در صورت استفاده از ملات آماده محتوي رس منبسط شده ريزدانه سبك.</t>
  </si>
  <si>
    <t>عايق كاري رطوبتي با يک قشر اندود قير.</t>
  </si>
  <si>
    <t>عايق كاري رطوبتي در زير عايق‌هاي مختلف حرارتي با قير پليمري اصلاح شده.</t>
  </si>
  <si>
    <t>عايق كاري رطوبتي، با دو قشر اندود قير و يک لايه گوني براي سطوح حمام‌ها، توالت‌ها و روي پي‌ها.</t>
  </si>
  <si>
    <t>عايق كاري رطوبتي، با دو قشر اندود قير و يک لايه گوني براي ساير سطوح.</t>
  </si>
  <si>
    <t>عايق كاري رطوبتي، با سه قشر اندود قير و دو لايه گوني براي سطوح حمام‌ها، توالت‌ها و روي پي‌ها.</t>
  </si>
  <si>
    <t>عايق كاري رطوبتي، با سه قشر اندود قير و دو لايه گوني براي ساير سطوح.</t>
  </si>
  <si>
    <t>عايق كاري رطوبتي، با چهار قشر اندود قير و سه لايه گوني براي سطوح حمام‌ها، توالت‌ها و روي پي‌ها.</t>
  </si>
  <si>
    <t>عايق كاري رطوبتي با چهار قشر اندود قير و سه لايه گوني براي ساير سطوح.</t>
  </si>
  <si>
    <t>عايق كاري رطوبتي، با عايق پيش ساخته درجه يك متشكل از قير و الياف پلي استر و تيشو به ضخامت 3 ميلي‌متر، به انضمام قشر آستر براي سطوح حمام‌ها، توالت‌ها و روي پي‌ها.</t>
  </si>
  <si>
    <t>عايق كاري رطوبتي، با عايق پيش ساخته درجه يك متشكل از قير و الياف پلي استر و تيشو به ضخامت 3 ميلي‌متر، به انضمام قشرآستر براي ساير سطوح.</t>
  </si>
  <si>
    <t>عايق كاري رطوبتي، با عايق پيش ساخته درجه يك متشكل از قير و الياف پلي استر و تيشو به ضخامت 4 ميلي‌متر، به انضمام قشرآستر براي سطوح حمام‌ها، توالت‌ها و روي پي‌ها.</t>
  </si>
  <si>
    <t>عايق كاري رطوبتي، با عايق پيش ساخته درجه يك متشكل از قير و الياف پلي استر و تيشو به ضخامت 4 ميلي‌متر، به انضمام قشرآستر براي ساير سطوح.</t>
  </si>
  <si>
    <t>اضافه بها به رديف هاي 130302 و 130304 در صورت استفاده از عايق پيش ساخته درجه يك فويل دار متشكل از قير و الياف پلي‌استر و تيشو و روكش آلومينيومي مطابق مشخصات فني</t>
  </si>
  <si>
    <t>تهيه و ريختن قشر رويه محافظ عايق پيش ساخته، با مايع مخصوص به رنگ‌هاي مختلف، براي سطوح بام‌ها و محل‌هايي كه روي عايق، آسفالت يا ساير پوشش‌ها انجام نمي‌شود.‌</t>
  </si>
  <si>
    <t>عايق كاري حرارتي با عايق پشم شيشه با روکش کاغذ کرافت به ضخامت 25 ميلي‌متر و به وزن مخصوص 16 كيلو گرم در متر مكعب.</t>
  </si>
  <si>
    <t>عايق كاري حرارتي با عايق پشم شيشه با روکش کاغذ کرافت به ضخامت 25 ميلي‌متر و به وزن مخصوص 20 كيلو گرم در متر مكعب.</t>
  </si>
  <si>
    <t>عايق كاري حرارتي با عايق پشم شيشه با روکش کاغذ کرافت به ضخامت 30 ميلي‌متر و به وزن مخصوص 12 كيلو گرم در متر مكعب.</t>
  </si>
  <si>
    <t>عايق كاري حرارتي با عايق پشم شيشه با روکش کاغذ کرافت به ضخامت 50 ميلي‌متر و به وزن مخصوص 12 كيلو گرم در متر مكعب.</t>
  </si>
  <si>
    <t>عايق كاري حرارتي با عايق پشم شيشه با روکش کاغذ کرافت به ضخامت 50 ميلي‌متر و به وزن مخصوص 16 كيلو گرم در متر مكعب.</t>
  </si>
  <si>
    <t>عايق كاري حرارتي با عايق پشم شيشه با روکش کاغذ کرافت به ضخامت 50 ميلي‌متر و به وزن مخصوص 20 كيلو گرم در متر مكعب.</t>
  </si>
  <si>
    <t>اضافه بها به رديف‌هاي 140101 تا 140106، در صورتي كه از روکش آلومينيوم ساده بجاي كاغذ كرافت استفاده شود.</t>
  </si>
  <si>
    <t>اضافه بها به رديف‌هاي 140101 تا 140106، در صورتي كه از روكش آلومينيوم مسلح بجاي کاغذ کرافت استفاده شود.</t>
  </si>
  <si>
    <t>عايق كاري حرارتي با عايق پشم شيشه به صورت پانل و بدون روکش به ضخامت 25 ميلي‌متر و به وزن مخصوص 36 كيلو گرم در متر مكعب.</t>
  </si>
  <si>
    <t>عايق كاري حرارتي با عايق پشم شيشه به صورت پانل و بدون روکش به ضخامت 25 ميلي‌متر و به وزن مخصوص 50 كيلو گرم در متر مكعب.</t>
  </si>
  <si>
    <t>عايق كاري حرارتي با عايق پشم شيشه به صورت پانل و بدون روکش به ضخامت 25 ميلي‌متر و به وزن مخصوص 100 كيلو گرم در متر مكعب.</t>
  </si>
  <si>
    <t>عايق كاري حرارتي با عايق پشم شيشه به صورت پانل و بدون روکش، به ضخامت 50 ميلي‌متر و به وزن مخصوص 36 کيلوگرم در متر مکعب.</t>
  </si>
  <si>
    <t>عايق كاري حرارتي با عايق پشم شيشه به صورت پانل و بدون روکش، به ضخامت 50 ميلي‌متر و به وزن مخصوص 50 کيلوگرم در متر مکعب.</t>
  </si>
  <si>
    <t>عايق كاري حرارتي با عايق پشم شيشه به صورت پانل و بدون روکش، به ضخامت 50 ميلي‌متر و به وزن مخصوص 100 کيلوگرم در متر مکعب.</t>
  </si>
  <si>
    <t>عايق كاري حرارتي با عايق پشم شيشه يكطرف توري‌دار به‌ضخامت 50 ميلي‌متر و وزن مخصوص 60 كيلوگرم در مترمكعب.</t>
  </si>
  <si>
    <t>عايق كاري حرارتي با عايق پشم شيشه يكطرف توري‌دار به‌ضخامت 75 ميلي‌متر و وزن مخصوص 60 كيلوگرم در مترمكعب.</t>
  </si>
  <si>
    <t>عايق كاري حرارتي با عايق پشم سنگ بدون روكش به‌ضخامت 50 ميلي‌متر و وزن مخصوص 30 كيلوگرم در مترمكعب.</t>
  </si>
  <si>
    <t>عايق كاري حرارتي با عايق پشم سنگ با روكش كاغذ كرافت به‌ضخامت 50 ميلي‌متر و وزن مخصوص 30 كيلوگرم در مترمكعب.</t>
  </si>
  <si>
    <t>اضافه بها به رديف 140601 وقتي كه از روكش آلومينيوم مسلح به‌جاي كاغذ كرافت استفاده شود.</t>
  </si>
  <si>
    <t>عايق پشم سنگ به‌صورت پانل و بدون روكش به ضخامت 25 ميلي‌متر و وزن مخصوص 100 كيلوگرم در مترمكعب.</t>
  </si>
  <si>
    <t>عايق پشم سنگ به‌صورت پانل و بدون روكش به ضخامت 30 ميلي‌متر و وزن مخصوص 80 كيلوگرم در مترمكعب.</t>
  </si>
  <si>
    <t>عايق پشم سنگ به‌صورت پانل و بدون روكش به ضخامت 50 ميلي‌متر و وزن مخصوص 80 كيلوگرم در مترمكعب.</t>
  </si>
  <si>
    <t>عايق پشم سنگ به‌صورت پانل و بدون روكش به ضخامت 50 ميلي‌متر و وزن مخصوص 100 كيلوگرم در مترمكعب.</t>
  </si>
  <si>
    <t>عايق پشم سنگ به‌صورت پانل و بدون روكش به ضخامت 60 ميلي‌متر و وزن مخصوص 100 كيلوگرم در مترمكعب.</t>
  </si>
  <si>
    <t>عايق پشم سنگ به‌صورت پانل و بدون روكش به ضخامت 75 ميلي‌متر و وزن مخصوص 80 كيلوگرم در مترمكعب.</t>
  </si>
  <si>
    <t>عايق پشم سنگ يكطرف توري‌دار به ضخامت 30 ميلي‌متر و وزن مخصوص 80 كيلوگرم در مترمكعب.</t>
  </si>
  <si>
    <t>عايق پشم سنگ يكطرف توري‌دار به ضخامت 30 ميلي‌متر و وزن مخصوص 100 كيلوگرم در مترمكعب.</t>
  </si>
  <si>
    <t>عايق پشم سنگ يكطرف توري‌دار به ضخامت 50 ميلي‌متر و وزن مخصوص 80 كيلوگرم در مترمكعب.</t>
  </si>
  <si>
    <t>عايق پشم سنگ يكطرف توري‌دار به ضخامت 50 ميلي‌متر و وزن مخصوص 100 كيلوگرم در مترمكعب.</t>
  </si>
  <si>
    <t>عايق پشم سنگ يكطرف توري‌دار به ضخامت 75 ميلي‌متر و وزن مخصوص 80 كيلوگرم در مترمكعب.</t>
  </si>
  <si>
    <t>عايق پشم سنگ يكطرف توري‌دار به ضخامت 75 ميلي‌متر و وزن مخصوص 100 كيلوگرم در مترمكعب.</t>
  </si>
  <si>
    <t>عايق پشم سنگ يكطرف توري‌دار به ضخامت 100 ميلي‌متر و وزن مخصوص 80 كيلوگرم در مترمكعب.</t>
  </si>
  <si>
    <t>عايق پشم سنگ يكطرف توري‌دار به ضخامت 100 ميلي‌متر و وزن مخصوص 100 كيلوگرم در مترمكعب.</t>
  </si>
  <si>
    <t>عايق‌كاري حرارتي با عايق پلي‌اورتان به ضخامت 15 ميلي‌متر.</t>
  </si>
  <si>
    <t>عايق‌كاري حرارتي با عايق پلي‌اورتان به ضخامت 50 ميلي‌متر.</t>
  </si>
  <si>
    <t>عايق‌كاري حرارتي با عايق پلي‌اورتان به ضخامت 100 ميلي‌متر.</t>
  </si>
  <si>
    <t>عايق‌كاري حرارتي با عايق پلي‌اورتان به ضخامت 150 ميلي‌متر.</t>
  </si>
  <si>
    <t>عايق‌كاري حرارتي با عايق پلي‌اورتان به ضخامت 200 ميلي‌متر.</t>
  </si>
  <si>
    <t>اضافه بها به رديف‌هاي 141001 تا 141005 براي هر مترمربع كاغذ كرافت كه سطح عايق را بپوشاند.</t>
  </si>
  <si>
    <t>اضافه بها به رديف‌هاي 141001 تا 141005 براي هر مترمربع ورق نازك آلومينيوم مسلح به‌ضخامت اسمي 80 ميكرون كه سطح عايق را بپوشاند.</t>
  </si>
  <si>
    <t>پركردن درز بين پانل‌هاي پلي‌اورتان و همچنين در محل تلاقي عايق با سطوح مختلف به‌طريق تزريق پلي‌اورتان برحسب وزن مصرفي.</t>
  </si>
  <si>
    <t>عايق‌كاري حرارتي با عايق پلي‌استايرن به‌ضخامت 15 ميلي‌متر.</t>
  </si>
  <si>
    <t>عايق‌كاري حرارتي با عايق پلي‌استايرن به‌ضخامت 50 ميلي‌متر.</t>
  </si>
  <si>
    <t>عايق‌كاري حرارتي با عايق پلي‌استايرن به‌ضخامت 100 ميلي‌متر.</t>
  </si>
  <si>
    <t>عايق‌كاري حرارتي با عايق پلي‌استايرن به‌ضخامت 150 ميلي‌متر.</t>
  </si>
  <si>
    <t>عايق‌كاري حرارتي با عايق پلي‌استايرن به‌ضخامت 200 ميلي‌متر.</t>
  </si>
  <si>
    <t>عايق‌كاري حرارتي با عايق پلي‌استايرن به‌ضخامت 250 ميلي‌متر.</t>
  </si>
  <si>
    <t>اضافه بها به‌ رديف‌هاي 141301 تا رديف 141306 در صورتي‌ كه از عايق پلي‌استايرن اكسترود شده استفاده گردد.</t>
  </si>
  <si>
    <t>تهيه، ساخت و نصب چهارچوب فلزي از ورق (با يا بدون كتيبه)، با شاخك‌هاي اتصالي مربوط و جاسازي‌ها و تقويت‌هاي لازم براي قفل و لولا.</t>
  </si>
  <si>
    <t>تهيه، ساخت و نصب در و پنجره آهني از نبشي، سپري، ناوداني، ميل گرد ورق و مانند آن، با جاسازي و دستمزد نصب يراق آلات همراه با جوشكاري و ساييدن لازم.</t>
  </si>
  <si>
    <t>تهيه، ساخت و نصب حفاظ، نرده و نرده‌بان و قابسازي فلزي كف پله‌ها از نبشي، سپري، ناوداني و ميل گرد ورق و مانندآن، با جاسازي و دستمزد نصب يراق آلات همراه با جوشكاري و ساييدن لازم.</t>
  </si>
  <si>
    <t>تهيه، ساخت و نصب چهارچوب، در و پنجره آهني از پروفيل‌هاي تو خالي، با جاسازي و دستمزد نصب يراق آلات همراه با جوشكاري وساييدن لازم.</t>
  </si>
  <si>
    <t>تهيه، ساخت و نصب حفاظ نرده و نرده بان و قابسازي فلزي كف پله‌ها از لوله سياه و پروفيل‌هاي تو خالي، باجا سازي و دستمزد نصب يراق آلات همراه با جوشكاري وساييدن لازم.</t>
  </si>
  <si>
    <t>تهيه و نصب ريل و قرقره براي درها و پنجره‌هاي كشويي آهني.</t>
  </si>
  <si>
    <t>تهيه، ساخت و نصب دريچه‌ها، درپوش‌ها و کف‌سازي‌هاي فولادي با ورق ساده يا آجدار، همراه با سپري، نبشي، تسمه و ساير پروفيل‌هاي لازم با جوش‌کاري و ساييدن.</t>
  </si>
  <si>
    <t>تهيه و نصب دريچه‌هاي چدني حوضچه‌ها يا كانال‌ها، يا كارهاي مشابه آن.</t>
  </si>
  <si>
    <t>تهيه، برشكاري، جوشكاري، فرم دادن، ساييدن و نصب ورق‌هاي آهن، به منظور پوشش سطوح ستون‌ها، تيرها كف پنجره‌ها و مانند آن.</t>
  </si>
  <si>
    <t>تهيه مصالح و زيرسازي سطوح كاذب و يا زيرسازي پوشش آرداواز، با نبشي، سپري، ميل گرد و مانند آن.</t>
  </si>
  <si>
    <t>تهيه مصالح، ساخت و نصب زيرسازي سقف‌هاي کاذب، از پروفيل‌هاي تو خالي.</t>
  </si>
  <si>
    <t>تهيه، ساخت و كارگذاري پايه يا دستك فلزي از، نبشي، سپري، ناوداني، تيرآهن و مانند آن، براي نصب سيم خاردار يا تور سيمي و ساير كارهاي مشابه آن.</t>
  </si>
  <si>
    <t>تهيه، ساخت و كارگذاري پايه يا دستك فلزي از قوطي يا لوله سياه، براي نصب سيم خاردار يا تور سيمي و ساير كارهاي مشابه آن.</t>
  </si>
  <si>
    <t>تهيه، ساخت و كارگذاري پايه يا دستك فلزي از، لوله گالوانيزه، براي نصب سيم خاردار يا تور سيمي و ساير كارهاي مشابه آن.</t>
  </si>
  <si>
    <t>تهيه، ساخت و نصب اسكلت فلزي براي زيرسازي نصب ورق‌هاي ساندويچي آلومينيومي به ‌ضخامت 3 تا 6 ميلي‌متر با لايه مياني پلي‌اتيلن يا ورق‌هاي آلومينيومي به ضخامت 4 سانتي‌متر و لايه مياني پلي‌يورتان.</t>
  </si>
  <si>
    <t>تهيه و نصب تسمه‌هاي آجدار فولادي به ابعاد مختلف براي مسلح كردن خاك با پيچ و مهره لازم.</t>
  </si>
  <si>
    <t>تهيه و جاگذاري زبانه‌هاي تسمه‌گير فولادي در قطعات بتني پيش ساخته براي مسلح كردن خاك.</t>
  </si>
  <si>
    <t>اضافه بها به رديف‌هاي 160210 و 160211 در صورتي كه تسمه‌ها و زبانه‌ها به‌ ميزان 100 ميكرون گالوانيزه شوند.</t>
  </si>
  <si>
    <t>تهيه و نصب لوله گالوانيزه به عنوان هواکش در سقف مخزن‌هاي بتني.</t>
  </si>
  <si>
    <t>اضافه بها به ردیف های 160105،160103 و 160201 بابت گالوانیزه گرم، و حداقل پوشش به ضخامت 60 میکرون.</t>
  </si>
  <si>
    <t>تهیه و نصب صفحات فلزی مشبک (Grating) در تصفیه خانه های آب و فاضلاب یا ابینه آبی با حدلقل 80 میکرون پوشش گالوانیزه گرم با تمام وسایل و اتصالات مربوط.</t>
  </si>
  <si>
    <t>تهیه و نصب دریچه از جنس کامپوزیت با کلاف مربوط به مساحت 0/25 تا 0/4 متر مربع.</t>
  </si>
  <si>
    <t>تهيه مصالح، پوشش سقف و فلاشينگ‌ها، با ورق سفيد گالوانيزه صاف، با تمام وسايل و لوازم نصب.</t>
  </si>
  <si>
    <t>تهيه مصالح و پوشش سقف، با ورق سفيد گالوانيزه كركره‌اي، با تمام وسايل و لوازم نصب.</t>
  </si>
  <si>
    <t>تهيه مصالح و پوشش سقف با ورق سفيد گالوانيزه ذوزنقه‌اي، با تمام وسايل و لوازم نصب.</t>
  </si>
  <si>
    <t>اضافه بها به رديف‌هاي 160301 تا 160303، در صورتي كه ورق در يك‌ رو رنگي باشد.</t>
  </si>
  <si>
    <t>تهيه و نصب كف خواب سر ناودان، كاسه ناودان، كلاهك دودكش و مانند آن با ورق سفيد گالوانيزه، لحيم كاري، پرچ و ساير كارهاي لازم روي آن.</t>
  </si>
  <si>
    <t>تهيه، ساخت و نصب آبروي لندني با ورق سفيد گالوانيزه، با تمام وسايل و لوازم نصب.</t>
  </si>
  <si>
    <t>تهيه، ساخت و نصب لوله ناودان و دودكش به قطر 10 سانتي‌متر از ورق گالوانيزه سفيد به ضخامت 0/6 ميلي‌متر، با اتصالات مربوط و تمام وسايل و لوازم نصب.</t>
  </si>
  <si>
    <t>تهيه، ساخت و نصب لوله ناودان و دودكش به قطر 15 سانتي‌متر از ورق گالوانيزه سفيد به ضخامت 0/6 ميلي‌متر، با اتصالات مربوط و تمام وسايل و لوازم نصب.</t>
  </si>
  <si>
    <t>تهيه و نصب، در پوش لوله بخاري به قطر10 سانتي‌متر از آهن سفيد.</t>
  </si>
  <si>
    <t>تهيه و نصب، در پوش لوله بخاري به قطر 15 سانتي‌متر از آهن سفيد.</t>
  </si>
  <si>
    <t>تهيه و نصب تورسيمي گالوانيزه حصاري (فنس)، با لوازم اتصال.</t>
  </si>
  <si>
    <t>تهيه تور سيمي گالوانيزه پشه گير و نصب تور سيمي درون قاب مربوط.</t>
  </si>
  <si>
    <t>تهيه و نصب تور سيمي گالوانيزه زير اندود.</t>
  </si>
  <si>
    <t>تهيه و نصب شبكه پيش جوش شده براي نرده و حصار محوطه.</t>
  </si>
  <si>
    <t>تهيه و نصب توري پرسي با مفتول سياه براي نرده و حصار محوطه.</t>
  </si>
  <si>
    <t>تهيه و نصب صفحات رابيتس براي سطوح كاذب.</t>
  </si>
  <si>
    <t>تهيه و نصب سيم خاردار با اتصالات لازم.</t>
  </si>
  <si>
    <t>تهيه و نصب توري گالوانيزه زير سقف براي نگهداري عايق حرارتي.</t>
  </si>
  <si>
    <t>تهيه شبكه ميل‌گرد پيش جوش ساخته شده (مش) از ميل‌گرد ساده به انضمام بريدن و كار گذاشتن آن همراه با سيم‌پيچي لازم.</t>
  </si>
  <si>
    <t>تهيه شبكه ميل‌گرد پيش جوش ساخته شده (مش) از ميل‌گرد آجدار به انضمام بريدن و كار گذاشتن آن همراه با سيم‌پيچي لازم.</t>
  </si>
  <si>
    <t>اضافه بها به رديف 160406 براي قسمت‌هاي دکوراتيو.</t>
  </si>
  <si>
    <t>تهيه و نصب رابيتس براي قطع بتن در محل درز اجرايي.</t>
  </si>
  <si>
    <t>تهيه و نصب پنجره از ورق گالوانيزه فرم داده شده و پيچ و رنگ پخته در كوره با يراق آلات تا مساحت 1 متر مربع.</t>
  </si>
  <si>
    <t>تهيه و نصب در و پنجره از ورق گالوانيزه فرم داده شده و پيچ و رنگ پخته شده در كوره با يراق آلات به مساحت بيش از 1 تا 3 مترمربع.</t>
  </si>
  <si>
    <t>تهيه و نصب در و پنجره از ورق گالوانيزه فرم داده شده و پيچ و رنگ پخته شده در كوره با يراق آلات به مساحت بيش از 3 مترمربع.</t>
  </si>
  <si>
    <t>تهيه و نصب پانل مشبک عايق‌دار به ضخامت 7 سانتي‌متر و ضخامت تمام شده ديوار 10 سانتي‌متر با عايق پلي‌استايرن نسوز، به ضخامت 4 سانتي‌متر و شبکه‌هاي مفتول 5×5 سانتي‌متر به قطر حداقل 2 ميلي‌متر همراه با اجراي بازشو (به مساحت کمتر از يک متر مربع) و نصب شبکه‌هاي اتصال در گوشه و در اطراف باز شوها ، به طور کامل بدون اندود روي آن</t>
  </si>
  <si>
    <t>اضافه بها به رديف‌ 160601 به ازاي هر يک سانتي‌متر افزايش ضخامت هسته عايق.</t>
  </si>
  <si>
    <t>اضافه بها به رديف‌ 160601 در صورتي که از مفتول گالوانيزه استفاده شود.</t>
  </si>
  <si>
    <t>اضافه بها به رديف‌ 160601 براي اجراي بازشوها با مساحت بيش از يک متر مربع. (بدون احتساب متراژ بازشو).</t>
  </si>
  <si>
    <t>اضافه بها به رديف 160602 در صورتي كه از پانل سقفي براي ساخت سقف پانلي استفاده شود.</t>
  </si>
  <si>
    <t>تهيه و اجراي پانل ساختمان از نوع ديوارهاي باربر، از جنس فولاد سرد نورد شده گالوانيزه سبک (LSF)، متشکل از اعضاي ,runner stud و بادبند (در صورت لزوم) به همراه نعل‌درگاه، اتصالات و تقويتي‌هاي مربوط، مطابق مشخصات فني.</t>
  </si>
  <si>
    <t>اضافه بها نسبت به رديف‌ 160701 و 160702 در حالتي که نصب پانل به حالت افقي باشد (پانل سقفي).</t>
  </si>
  <si>
    <t>تهيه و اجراي تاوه فلزي ماندگار (Metal Deck)، براي پوشش سقف، به همراه گل‌ميخ‌ها و اتصالات مربوط، مطابق مشخصات فني در کارهاي LSF.</t>
  </si>
  <si>
    <t>اضافه بها به رديف 160701 براي اجراي ديوارهاي پانلي قوس‌دار از جنس فولاد سرد نورد شده گالوانيزه.</t>
  </si>
  <si>
    <t>تهيه، ساخت و نصب در و پنجره آلومينيومي يک جداره و يا دو جداره كه در آن از ميل گرد فولادي استفاده شده باشد.</t>
  </si>
  <si>
    <t>تهيه، ساخت و نصب در و پنجره آلومينيومي يک جداره و يا دو جداره از پروفيل اس تي كه در آن از ميل گرد فولادي استفاده نشده باشد.</t>
  </si>
  <si>
    <t>تهيه، ساخت و نصب در و پنجره آلومينيومي يک جداره از پروفيل کرونت كه در آن از ميل گرد فولادي استفاده نشده باشد.</t>
  </si>
  <si>
    <t>تهيه، ساخت و نصب نرده و شبكه آلومينيومي و مانند آن از پروفيل‌هاي قوطي آلومينيومي.</t>
  </si>
  <si>
    <t>تهيه و نصب روكش ستون‌ها از ورق نماي آلومينيوم.</t>
  </si>
  <si>
    <t>تهيه و نصب روكش ديوارها از قطعات و ورق نماي آلومينيوم.</t>
  </si>
  <si>
    <t>تهيه و نصب پروفيل‌هاي آلومينيومي، جهت اتصال ورق‌هاي ساندويچي به زيرسازي اسكلت فلزي و نيز تقويت لازم براي ورق‌هاي ساندويچي به ضخامت 3 تا 6 ميلي‌متر با لايه مياني پلي‌اتيلن.</t>
  </si>
  <si>
    <t>تهيه و نصب سقف كاذب آلومينيومي از ورق آلومينيومي فرم داده شده به ضخامت 0/5 تا 5/05 ميلي‌متر، با رنگ پخته و زير سازي استاندارد.</t>
  </si>
  <si>
    <t>تهيه و نصب سقف كاذب آلومينيومي از ورق آلومينيومي سوراخ دار فرم داده شده، به‌ضخامت 0/5 تا 5/05 ميلي‌متر، با رنگ پخته كه پشت آن با لايه نمدي به ضخامت 0/2 ميلي‌متر پوشانده شده است، با زيرسازي استاندارد.</t>
  </si>
  <si>
    <t>تهيه مصالح و پوشش سقف، با ورق آلومينيومي با هر نوع موج به ضخامت تا 0/7 ميلي‌متر.</t>
  </si>
  <si>
    <t>تهيه مصالح و پوشش سقف، با ورق آلومينيومي با هرنوع موج به ضخامت بيش از 0/7 ميلي‌متر.</t>
  </si>
  <si>
    <t>تهيه مصالح و پوشش ديوار با ورق آلومينيومي با هر نوع موج به ضخامت تا 0/7 ميلي‌متر.</t>
  </si>
  <si>
    <t>تهيه مصالح و پوشش ديوار با ورق آلومينيومي با هر نوع موج به ضخامت بيش از 0/7 ميلي‌متر.</t>
  </si>
  <si>
    <t>تهيه مصالح و اجراي فلاشينگ با ورق آلومينيومي به هر ضخامت.</t>
  </si>
  <si>
    <t>تهيه مصالح و اجراي ديوار با ورق آلومينيومي دو رو رنگ شده با هر نوع موج به ضخامت تا 0/7 ميلي‌متر.</t>
  </si>
  <si>
    <t>تهيه مصالح و اجراي ديوار با ورق آلومينيومي دو رو رنگ شده با هر نوع موج به ضخامت بيش از 0/7 ميلي‌متر.</t>
  </si>
  <si>
    <t>تهيه و نصب نبشي از آلومينيوم، براي لبه‌هاي تيز و كارهاي مشابه آن.</t>
  </si>
  <si>
    <t>تهيه مصالح و پوشش درز انبساط با قطعات آلومينيومي.</t>
  </si>
  <si>
    <t>تهيه و نصب پاخور درهاي چوبي، از آلومينيوم.</t>
  </si>
  <si>
    <t>تهيه و نصب ريل آلومينيومي توري پشه گير آلومينيومي.</t>
  </si>
  <si>
    <t>تهيه و نصب در پوش لوله‌هاي بخاري به قطر 10 سانتي‌متر از آلومينيوم.</t>
  </si>
  <si>
    <t>تهيه و نصب در پوش لوله‌هاي بخاري به قطر 15 سانتي‌متر از آلومينيوم.</t>
  </si>
  <si>
    <t>تهيه و نصب توري پشه گير آلومينيومي، با قاب آلومينيومي ثابت.</t>
  </si>
  <si>
    <t>تهيه و نصب توري پشه گيرآلومينيومي متحرك ، با قاب آلومينيومي بدون ريل كشويي.</t>
  </si>
  <si>
    <t>تهيه و نصب توري پشه گير آلومينيومي لولايي با قاب آلومينيومي بدون چهارچوب.</t>
  </si>
  <si>
    <t>اضافه بها به تمام كارهاي آلومينيومي غير رنگي،</t>
  </si>
  <si>
    <t>اضافه بها براي آنادايز كردن به ضخامت بيش از 5 ميكرون به ازاي هر 5 ميكرون.</t>
  </si>
  <si>
    <t>تهيه و نصب قرنيز برنزي پاي ديوار.</t>
  </si>
  <si>
    <t>تهيه و نصب نرده، شبكه يا قطعات ساخته شده از برنز.</t>
  </si>
  <si>
    <t>تهيه و نصب هر نوع ورق يا قطعات مسي.</t>
  </si>
  <si>
    <t>تهيه مصالح و نصب پانل ساندويچي سقفي به ضخامت 4 سانتي‌متر شامل دو رو ورق آلومينيوم رنگي به ضخامت 0/7 ميلي‌متر كه بين آن‌ها فوم پلي يورتان پر شده باشد.</t>
  </si>
  <si>
    <t>تهيه مصالح و نصب پانل ساندويچي ديواري به ضخامت 4 سانتي‌متر شامل دو رو ورق آلومينيوم رنگي به ضخامت 0/7 ميلي‌متر كه بين آن‌ها فوم پلي يورتان پر شده باشد.</t>
  </si>
  <si>
    <t>تهيه و نصب پوشش‌هاي ساندويچي به ضخامت 4 ميلي‌متر، شامل دو رو ورق آلومينيوم هر يك به ضخامت 0/5 ميلي‌متر با لايه مياني پلي‌اتيلن‏ براي نماسازي.</t>
  </si>
  <si>
    <t>اضافه بها به رديف‌هاي 171001 و 171002 به ازاي هر سانتي‌متر اضافه ضخامت نسبت به چهار سانتي‌متر، بابت افزايش ضخامت فوم پلي‌يورتان.</t>
  </si>
  <si>
    <t>تهيه و نصب پنجره آلومينيوم تا مساحت 1 متر مربع با يراق آلات كه درآن از پروفيل‌هايي به غير از</t>
  </si>
  <si>
    <t>تهيه و نصب در و پنجره آلومينيوم به مساحت بيش از 1 تا 3 متر مربع با يراق آلات كه درآن از پروفيل‌هايي به غير از اس تي و كرونت و قوطي استفاده شده باشد.</t>
  </si>
  <si>
    <t>تهيه و نصب در و پنجره آلومينيوم به مساحت بيش از 3 مترمربع با يراق آلات كه درآن از پروفيل‌هايي به غير از اس تي و كرونت و قوطي استفاده شده باشد.</t>
  </si>
  <si>
    <t>اندود كاهگل روي هر نوع سطح، با شيب‌بندي در صورت لزوم، به ازاي هر يک سانتي‌متر ضخامت.</t>
  </si>
  <si>
    <t>شمشه گيري سطوح قايم و سقف‌ها، با ملات گچ و خاك.</t>
  </si>
  <si>
    <t>اندود گچ و خاك به ضخامت تا 2/5 سانتي‌متر، روي سطوح قايم.</t>
  </si>
  <si>
    <t>اندود گچ و خاك به ضخامت تا 2/5 سانتي‌متر، براي زير سقف‌ها.</t>
  </si>
  <si>
    <t>سفيد كاري روي سطوح قايم و پرداخت آن با گچ كشته.</t>
  </si>
  <si>
    <t>سفيد كاري زير سقف‌ها و پرداخت آن با گچ كشته.</t>
  </si>
  <si>
    <t>در آوردن چفت در سطوح گچ كاري.</t>
  </si>
  <si>
    <t>سفيد كاري با گچ گيبتن روي سطوح بتني.</t>
  </si>
  <si>
    <t>زخمي كردن يا ملات پاشي روي سطوح بتني به منظور اجراي اندود.</t>
  </si>
  <si>
    <t>شمشه گيري سطوح قايم و سقف‌ها، با ملات ماسه سيمان1:4.</t>
  </si>
  <si>
    <t>اندود سيماني به ضخامت حدود يك سانتي‌متر روي سطوح قايم، با ملات ماسه سيمان 1:4.</t>
  </si>
  <si>
    <t>اندود سيماني به ضخامت حدود 2 سانتي‌متر، روي سطوح قايم، با ملات ماسه سيمان 1:4.</t>
  </si>
  <si>
    <t>اندود سيماني به ضخامت حدود 3 سانتي‌متر، روي سطوح قايم، با ملات ماسه سيمان 1:4.</t>
  </si>
  <si>
    <t>اندود سيماني به ضخامت حدود 4 سانتي‌متر، روي سطوح قايم، با ملات ماسه سيمان 1:4.</t>
  </si>
  <si>
    <t>اندود سيماني با ملات ماسه سيمان 1:4 به ضخامت حدود يك سانتي‌متر، روي سطوح افقي.</t>
  </si>
  <si>
    <t>اندود سيماني با ملات ماسه سيمان 1:4 به ضخامت حدود 2 سانتي‌متر، روي سطوح افقي.</t>
  </si>
  <si>
    <t>اندود سيماني با ملات ماسه سيمان 1:4 به ضخامت حدود 3 سانتي‌متر، روي سطوح افقي.</t>
  </si>
  <si>
    <t>اندود سيماني با ملات ماسه سيمان 1:4 به ضخامت حدود 4 سانتي‌متر، روي سطوح افقي.</t>
  </si>
  <si>
    <t>اندود سيماني با ملات ماسه سيمان 1:4 به ضخامت حدود يك سانتي‌متر، براي زير سقف.</t>
  </si>
  <si>
    <t>اندود سيماني با ملات ماسه سيمان 1:4 به ضخامت حدود 2 سانتي‌متر، براي زير سقف.</t>
  </si>
  <si>
    <t>اندود سيماني با ملات ماسه سيمان 1:4 به ضخامت حدود 3 سانتي‌متر، براي زير سقف.</t>
  </si>
  <si>
    <t>اندود سيماني با ملات ماسه سيمان 1:4 به ضخامت حدود 4 سانتي‌متر، براي زير سقف.</t>
  </si>
  <si>
    <t>اضافه بها نسبت به رديف‌هاي 180303 تا180310، چنانچه ملات با تارد 1:2:8 به جاي ملات ماسه سيمان 1:4 مصرف شود، براي هر يك سانتي‌متر ضخامت اندود يك مرتبه.</t>
  </si>
  <si>
    <t>اضافه بها نسبت به رديف‌هاي 180303 تا180310س، چنانچه ملات ماسه آهك 1:3 به جاي ملات ماسه سيمان 1:4 مصرف شود، براي هر يك سانتي‌متر ضخامت اندود يك مرتبه.</t>
  </si>
  <si>
    <t>اضافه بها براي اندودهاي با ملات ماسه سيمان يا با تارد، در صورتي كه سطح روي آن ليسه‌اي و پرداخت شود.</t>
  </si>
  <si>
    <t>تهيه و اجراي بتن به عيار 350 کيلوگرم سيمان با روش پاششي با دستگاه، به ازاي هر يک سانتي‌متر تا ضخامت سه سانتي‌متر.</t>
  </si>
  <si>
    <t>اضافه بها به رديف 180318 براي ضخامت‌هاي بيش از سه سانتي‌متر، به ازاي هر يک سانتي‌مترتا 10 سانتي‌متر.</t>
  </si>
  <si>
    <t>اندود تخته ماله‌اي (قشر رويه) در يكدست، به ضخامت حدود 0/5 سانتي‌متر، روي سطوح قايم و افقي با ملات سيمان، پودر و خاك سنگ 1:1:3.</t>
  </si>
  <si>
    <t>اندود تخته ماله‌اي (قشر رويه) در يك دست، به ضخامت حدود 0/5 سانتي‌متر، زير سقف‌ها با ملات سيمان، پودر و خاك، سنگ 1:1:3.</t>
  </si>
  <si>
    <t>اضافه بها نسبت به رديف‌هاي 180401 و 180402، در صورتي كه، به جاي سيمان پرتلند از سيمان سفيد استفاده شود.</t>
  </si>
  <si>
    <t>اضافه بها به رديف‌هاي 180401 و180402، در صورت مصرف سيمان رنگي، به غير از سيمان سفيد.</t>
  </si>
  <si>
    <t>اندود تگرگي (قشر رويه)، در يك دست به ضخامت حدود 2 ميلي‌متر با ملات سيمان و پودر و خاك سنگ 1:1:3 براي سطوح قايم و افقي و يا زير سقف.</t>
  </si>
  <si>
    <t>اندود تگرگي (قشررويه)، در يك دست به ضخامت حدود 2 ميلي‌متر با ملات سيمان سفيد و پودر و خاك سنگ 1:1:3 براي سطوح قايم و افقي و يا زير سقف، با استفاده از مواد رنگي در صورت لزوم.</t>
  </si>
  <si>
    <t>اندود تگرگي (قشر رويه)، در يك دست به ضخامت حدود 2 ميلي‌متر با ملات سيمان رنگي (غيرازسفيد) و پودر و خاك سنگ 1:1:3 براي سطوح قايم و افقي و يا زير سقف.</t>
  </si>
  <si>
    <t>تهيه مصالح و اجراي نما سازي رزيني تركيبي از نوع روغني (آلكيدي بلند روغن).</t>
  </si>
  <si>
    <t>تهيه مصالح و اجراي نما سازي رزيني تركيبي از نوع امولزيوني هم‌ بسپار (كوپليمر) براي داخل ساختمان.</t>
  </si>
  <si>
    <t>نماسازي چكشي سطوح قايم و افقي (قشر رويه)، به ضخامت 1 تا 1/5 سانتي‌متر، با ملات موزاييك</t>
  </si>
  <si>
    <t>نماسازي چكشي سطوح قايم و افقي (قشر رويه) به ضخامت 1 تا 1/5 سانتي‌متر، با ملات سيمان، پودر و خاك سنگ 1:1:3.</t>
  </si>
  <si>
    <t>نما سازي موزاييكي روي سطوح قايم و افقي (قشر رويه)، به ضخامت 1 تا 1/5 سانتي‌متر با ملات موزاييك 2/5:2/5:1 همراه با شمشه‌گيري شيشه‌اي با شيشه حدود 6 ميلي‌متر و ساييدن آن.</t>
  </si>
  <si>
    <t>نما سازي موزاييكي شسته (قشر رويه) روي سطوح قايم و افقي به ضخامت 1 تا 1/5 سانتي‌متر با ملات موزاييك 2/5:2/5:1 و شمشه‌گيري شيشه‌اي با شيشه حدود 6 ميلي‌متري و شستن آن.</t>
  </si>
  <si>
    <t>اضافه بها به رديف‌هاي 180601 تا 180604، در صورتي كه به جاي سيمان پرتلند سيمان سفيد مصرف شود.</t>
  </si>
  <si>
    <t>اضافه بها به رديف‌هاي 180601 تا 180604، در صورت مصرف سيمان رنگي به غير از سيمان سفيد.</t>
  </si>
  <si>
    <t>كف سازي موزاييكي (قشررويه)، به ضخامت 1 تا 1/5 سانتي‌متر، با ملات موزاييكي 2‌:1/5:1 و ساييدن آن.</t>
  </si>
  <si>
    <t>تهيه مصالح و ساختن در پوش روي ديوار (يک طرفه يا دو طرفه)، کف پنجره (داخل يا خارج)، با تعبيه آب چكان، درز انبساط و قالب‌بندي، با ملات ماسه سيمان 1:6.</t>
  </si>
  <si>
    <t>تهيه مصالح و ساختن سايه‌بان بتني بالاي پنجره به عيار250 كيلو سيمان در متر مكعب، با تعبيه آب چكان و قالب‌بندي، به طور كامل (ميل گرد مصرفي از رديف مربوط پرداخت مي‌شود).</t>
  </si>
  <si>
    <t>بند كشي توپر نماي آجري با ملات گچ و خاك.</t>
  </si>
  <si>
    <t>بند كشي تو خالي نماي آجري با ملات گچ و خاك.</t>
  </si>
  <si>
    <t>بند كشي توپر نماي آجري با ملات ماسه سيمان 1:4.</t>
  </si>
  <si>
    <t>بند كشي توخالي نماي آجري با ملات ماسه سيمان 1:4.</t>
  </si>
  <si>
    <t>بند كشي نماي بلوك سيماني با ملات ماسه سيمان 1:4.</t>
  </si>
  <si>
    <t>بند كشي نماي سنگي باسنگ لاشه و ملات ماسه سيمان 1:4.</t>
  </si>
  <si>
    <t>بندكشي نماي سنگي با سنگ لاشه موزاييك، به صورت درز شده يا بادبر و يا مشابه آن و ملات ماسه سيمان 1:4.</t>
  </si>
  <si>
    <t>بند كشي نماي سنگي با سنگ پلاك و ملات ماسه سيمان 1:4، در صورتي كه ضخامت بند 6 ميلي‌متر و بيشتر باشد.</t>
  </si>
  <si>
    <t>تهيه و نصب صفحات گچي به ضخامت 12 ميلي‌متر به صورت دو جداره و از دو طرف روي پانل ديواري از جنس فولاد گالوانيزه سرد نورد شده سبک با بطانه به انضمام تمام وسايل نصب و نوار مربوط.</t>
  </si>
  <si>
    <t>تهيه و نصب سقف گچي بدون ملات با بطانه و تمام وسايل نصب و نوار مربوط.</t>
  </si>
  <si>
    <t>اضافه بها به رديف‌هاي 180901 و 180902 چنانچه صفحات گچي از نوع مقاوم در مقابل رطوبت باشد.</t>
  </si>
  <si>
    <t>دستمزد تعبيه و جاسازي محل چهارچوب، پنجره و دريچه در ديوارهاي با صفحات گچي (dry wall).</t>
  </si>
  <si>
    <t>اضافه بها به ردیف های 180901 و 180902 چنانچه صفحات گچی از نوع مقاوم در برابر آتش باشد.</t>
  </si>
  <si>
    <t>اضافه بها به ردیف های 180901 و 180902 چنانچه صفحات گچی توا ما  در برابر آتش و رطوبت مقاوم باشد.</t>
  </si>
  <si>
    <t>آماده سازي، تهيه مصالح و اجراي نازک‌کاري رويه با پوشش سلولزي به ضخامت 2 تا 3 ميلي‌متر، به هر رنگ در سطوح قائم و افقي.</t>
  </si>
  <si>
    <t>اضافه بها به رديف 181001، در صورت استفاده از پوشش‌هاي سلولزي مرکب با الياف مصنوعي پروپيلن.</t>
  </si>
  <si>
    <t>اضافه بها به رديف 181001، در صورت استفاده از پوشش‌هاي سلولزي مرکب با ميکا.</t>
  </si>
  <si>
    <t>تهيه و نصب نماي پيش‌ساخته با سيمان الياف‌دار، با ضخامت 8 تا 12 ميلي‌متر، با هر رنگ و سطح صاف.</t>
  </si>
  <si>
    <t>تهيه و نصب نماي پيش‌ساخته با سيمان الياف‌دار، با ضخامت 8 تا 12 ميلي‌متر، با هر رنگ و سطح برجسته.</t>
  </si>
  <si>
    <t>تهيه و نصب چهارچوب در، از چوب داخلي به ابعاد اسمي 7×16 سانتي‌متر يا مقطع معادل آن، با تمام مشتي‌هاي پيش بيني شده و زهوار لازم براي كتيبه.</t>
  </si>
  <si>
    <t>تهيه و نصب چهارچوب در، از چوب نراد خارجي به ابعاد اسمي 7×16 سانتي‌متر يا مقطع معادل آن، با تمام مشتي‌هاي پيش بيني شده و زهوار لازم براي كتيبه.</t>
  </si>
  <si>
    <t>تهيه و نصب چهارچوب در، از چوب داخلي به ابعاد اسمي 6×12 سانتي‌متر يا مقطع معادل آن، با تمام مشتي‌هاي پيش بيني شده و زهوار لازم براي كتيبه.</t>
  </si>
  <si>
    <t>تهيه و نصب چهارچوب در، از چوب نراد خارجي به ابعاد اسمي 6×12 سانتي‌متر يا مقطع معادل آن، با تمام مشتي‌هاي پيش بيني شده و زهوار لازم براي كتيبه.</t>
  </si>
  <si>
    <t>تهيه و ساخت كلاف در چوبي به ابعاد 6×8/3 سانتي‌متر يا مقطع معادل آن، با چوب داخلي، همراه با دو قيد چوبي به ابعاد 6×8/3 سانتي‌متر يا مقطع معادل آن، به طول 20 سانتي‌متر براي نصب قفل.</t>
  </si>
  <si>
    <t>تهيه و ساخت كلاف در چوبي به ابعاد 6×8/3 سانتي‌متر يا مقطع معادل آن، با چوب نراد خارجي، همراه با دو قيد چوبي به ابعاد 6×8/3 سانتي‌متر يا مقطع معادل آن، به طول 20 سانتي‌متر براي نصب قفل.</t>
  </si>
  <si>
    <t>تهيه، ساخت و جاگذاري شبكه به ابعاد 7×7 سانتي‌متر داخل كلاف چوبي در، از فيبر به ضخامت حدود 3 ميلي‌متر.</t>
  </si>
  <si>
    <t>تهيه، ساخت و جا گذاري شبكه به ابعاد 7×7سانتي‌متر داخل كلاف چوبي در، از سه لايي داخلي به ضخامت حدود 4 ميلي‌متر.</t>
  </si>
  <si>
    <t>تهيه، ساخت و جا گذاري شبكه به ابعاد 7×7 سانتي‌متر داخل كلاف چوبي در، از چوب داخلي به ضخامت 6 ميلي‌متر.</t>
  </si>
  <si>
    <t>تهيه، ساخت و جا گذاري شبكه به ابعاد 7×7 سانتي‌متر داخل كلاف چوبي در، از چوب نراد خارجي به ضخامت 6 ميلي‌متر.</t>
  </si>
  <si>
    <t>تهيه، ساخت و جا گذاري شبكه داخل كلاف چوبي در، با شبكه مقوايي لانه زنبوري.</t>
  </si>
  <si>
    <t>تهيه و نصب پوشش دو روي در، با تخته سه لايي داخلي به ضخامت 4 ميلي‌متر، با پرس كردن.</t>
  </si>
  <si>
    <t>تهيه و نصب پوشش دو روي در، از فيبر به ضخامت حدود 3 ميلي‌متر، با پرس كردن.</t>
  </si>
  <si>
    <t>تهيه و نصب پوشش دو روي در، از نئوپان به ضخامت حدود 4 ميلي‌متر، با پرس كردن.</t>
  </si>
  <si>
    <t>تهيه و نصب پوشش دو روي در، از ام. دي. اف (MDF) رنگي به ضخامت حدود 3 ميلي‌متر، با پرس كردن.</t>
  </si>
  <si>
    <t>نصب در چوبي و يراق كوبي آن (بدون بهاي يراق‌آلات).</t>
  </si>
  <si>
    <t>لنگه</t>
  </si>
  <si>
    <t>دستمزد قابلمه‌اي كردن در، به ازاي متر طول قابلمه.</t>
  </si>
  <si>
    <t>تهيه و نصب روكوب چوبي چهارچوب به عرض 5 تا 7 سانتي‌متر و ضخامت 12 تا 16 ميلي‌متر، از چوب داخلي.</t>
  </si>
  <si>
    <t>تهيه و نصب روكوب چوبي چهارچوب به عرض 5 تا 7 سانتي‌متر و ضخامت 12 تا 16 ميلي‌متر، از چوب نراد خارجي.</t>
  </si>
  <si>
    <t>تهيه و نصب فتيله چوبي به ابعاد 1×1 سانتي‌متر يا مقطع معادل آن، از چوب داخلي.</t>
  </si>
  <si>
    <t>تهيه و نصب فتيله چوبي به ابعاد 2×2 سانتي‌متر يا مقطع معادل آن، از چوب داخلي.</t>
  </si>
  <si>
    <t>تهيه و نصب فتيله چوبي به ابعاد 4×4 سانتي‌متر يا مقطع معادل آن، از چوب داخلي.</t>
  </si>
  <si>
    <t>تهيه، ساخت و نصب چهارچوب كمد و گنجه از چوب نرادخارجي، به ابعاد اسمي 7×5 سانتي‌متر يا مقطع معادل آن‌ها، با تمام مشتي‌هاي پيش بيني شده.</t>
  </si>
  <si>
    <t>تهيه و ساخت در كمد و گنجه از نئوپان به ضخامت 18 ميلي‌متر و نصب زهوار چوبي درمحيط آن به ابعاد 2×1/8 سانتي‌متر.</t>
  </si>
  <si>
    <t>تهيه وساخت در كمد و گنجه به ضخامت نهايي حدود 3/3 سانتي‌متر، با كلاف ازچوب نراد خارجي به ابعاد 2/5×5 سانتي‌متر يا مقطع معادل آن و شبكه گذاري و پوشش دور و با تخته سه لاي 4 ميلي‌متري داخلي.</t>
  </si>
  <si>
    <t>تهيه و ساخت در كمد و گنجه به ضخامت نهايي حدود 3/3 سانتي‌متر، با كلاف از چوب نراد خارجي به ابعاد 2/5×5 سانتي‌متر يا مقطع معادل آن و شبكه گذاري و پوشش دورو با فيبربه ضخامت حدود3 ميلي‌متر.</t>
  </si>
  <si>
    <t>تهيه و ساخت در كمد و گنجه به ضخامت نهايي حدود 3/3 سانتي‌متر، با كلاف از چوب نراد خارجي به ابعاد 2/5×5 سانتي‌متر يا مقطع معادل آن و شبكه گذاري و پوشش دور و با نئوپان به ضخامت 4 ميلي‌متر.</t>
  </si>
  <si>
    <t>تهيه و ساخت در كمد و گنجه از ام. دي. اف (MDF) رنگي به ضخامت 16 ميلي‌متر و نصب نوار PVC  در محيط آن.</t>
  </si>
  <si>
    <t>تهيه و ساخت در كمد و گنجه به ضخامت‌هايي حدود 3 سانتي متر با کلاف از چوب نراد خارجي به ابعاد 2/5×5 سانتي متر يا مقطع معادل آن و شبکه گذاري و پوشش دو رو با ام. دي. اف (MDF) رنگي به ضخامت حدود 3 ميلي‌متر.</t>
  </si>
  <si>
    <t>تهيه مصالح و طبقه بندي و تقسيمات داخلي عمودي و افقي كمدها و گنجه‌ها با نئوپان به ضخامت 18 ميلي‌متر با تكيه گاه‌هاي لازم و نصب زهوار جلوي تقسيمات به ابعاد 1/5×1/8 ازچوب نراد خارجي، بر حسب سطوح طبقات و تقسيمات داخلي.</t>
  </si>
  <si>
    <t>تهيه مصالح و طبقه بندي و تقسيمات داخلي كمدها و گنجه‌ها با ام. دي. اف (MDF) رنگي به ضخامت 16 ميلي‌متر با تکيه‌گاه‌هاي لازم برحسب سطوح طبقات و تقسيمات داخلي و نيز نصب نوار پي. وي. سي.</t>
  </si>
  <si>
    <t>تهيه مصالح و پوشش ديوارهاي داخلي كمد و گنجه‌هاشامل زيرسازي از چوب نراد خارجي، به فاصله 50 سانتي‌متر و ابعاد 2/5×5 سانتي‌متر و پوشش با فيبر به ضخامت حدود 3 ميلي‌متر.</t>
  </si>
  <si>
    <t>تهيه مصالح و پوشش ديوارهاي داخلي كمد و گنجه‌ها شامل زيرسازي از چوب نراد خارجي، به فاصله 50 سانتي‌متر و ابعاد 2/5×5 سانتي‌متر و پوشش با ام. دي. اف (MDF) رنگي به ضخامت 3 ميلي‌متر و نصب نوار PVC.</t>
  </si>
  <si>
    <t>تهيه و ساخت كلاف چوبي از چوب داخلي به ابعاد 4×3 سانتي‌متر يا مقطع معادل آن، براي توري پشه گير درها، با واداروسطو تهيه و كوبيدن زهوار 1/5×3 سانتي‌متر يا مقطع معادل آن، روي چهارچوب.</t>
  </si>
  <si>
    <t>تهيه و ساخت كلاف چوبي از چوب نراد خارجي به ابعاد 4×3 سانتي‌متر يا مقطع معادل آن، براي توري پشه گيردرها، با وادار وسط و تهيه و كوبيدن زهوار 1/5×3 سانتي‌متر يا مقطع معادل آن، از چوب نراد خارجي، روي چهارچوب.</t>
  </si>
  <si>
    <t>تهيه، ساخت و نصب كلاف براي توري پشه گير روي پنجره‌ها به ابعاد 3×2 سانتي‌متر يا مقطع معادل آن، از چوب نراد خارجي و كوبيدن زهوار 1/5×3 سانتي‌متر يا مقطع معادل آن، از چوب نراد خارجي، روي چهارچوب.</t>
  </si>
  <si>
    <t>تهيه و نصب شبكه‌هاي چوبي از چوب نراد خارجي، براي زيرسازي سقف‌هاي كاذب، به منظور نصب قطعات اكوستيك.</t>
  </si>
  <si>
    <t>تهيه و نصب شبكه‌هاي چوبي از چوب نراد خارجي، براي زيرسازي سقف‌هاي كاذب، به منظور اجراي لمبه‌كوبي.</t>
  </si>
  <si>
    <t>تهيه مصالح و زير سازي به صورت شبكه عمود بر هم و اتصال نيم و نيم صليبي با چوب نراد خارجي، به ابعاد 6×4 سانتي‌متر به فاصله يك متر از يكديگر، به منظور نصب صفحات صاف آزبست سيمان درنما.</t>
  </si>
  <si>
    <t>تهيه مصالح و زير سازي با چوب نراد خارجي، براي نصب اردواز 30×60 سانتي‌متر شامل چوب‌هاي اصلي به ابعاد 4×6 سانتي‌متر و به فاصله 80 سانتي‌متر و چوب‌هاي فرعي به ابعاد 4×3 سانتي‌متر به فاصله 20 سانتي‌متر از يكديگر.</t>
  </si>
  <si>
    <t>تهيه مصالح و زير سازي با چوب نراد خارجي، براي نصب اردواز 30×20 سانتي‌مترشامل چوب‌هاي اصلي به ابعاد 6×4 سانتي‌متر و به فاصله 80 سانتي‌متر و چوب‌هاي فرعي به ابعاد 4×3 سانتي‌متر و به فاصله 10 سانتي‌متر از يكديگر.</t>
  </si>
  <si>
    <t>تهيه و نصب چوب روي دست انداز پله به ضخامت حدود 6 سانتي‌متر و عرض 8 تا 12 سانتي‌متر، با لوازم اتصالي مربوط از چوب داخلي.</t>
  </si>
  <si>
    <t>تهيه و نصب چوب روي دست انداز پله به ضخامت حدود 6 سانتي‌متر و عرض 8 تا 12 سانتي‌متر، با لوازم اتصالي مربوط ازچوب نراد خارجي.</t>
  </si>
  <si>
    <t>تهيه و نصب قرنيز چوبي به ضخامت 1 تا 1/5 سانتي‌متر، از چوب داخلي كه لبه آن ابزار خورده باشد.</t>
  </si>
  <si>
    <t>تهيه و نصب قرنيز چوبي به ضخامت 1 تا 1/5 سانتي‌متر، از چوب نراد خارجي كه لبه آن ابزار خورده باشد.</t>
  </si>
  <si>
    <t>تهيه و نصب قرنيز چوبي از جنس ام. دي. اف (MDF) رنگي  به ضخامت حدود 1/5 سانتي‌متر، لبه آن ابزار خورده باشد.</t>
  </si>
  <si>
    <t>تهيه مصالح و پوشش ديوارها با نئوپان به ضخامت 18 ميلي‌متر.</t>
  </si>
  <si>
    <t>اضافه بها نسبت به رديف 191201، چنانچه در محيط قطعات نئوپان زهوار از چوب نراد خارجي به ابعاد 1/8×1/5 سانتي‌متر نصب شده باشد.</t>
  </si>
  <si>
    <t>تهيه مصالح و پوشش نرده از ورق نئوپان به ضخامت 2 سانتي‌متر، كه درمحيط آن زهوار از چوب نراد خارجي به ابعاد 2×1/5 سانتي‌متر نصب شده باشد.</t>
  </si>
  <si>
    <t>تهيه و نصب خرپاي چوبي با چهار تراش از چوب داخلي شامل كش، لنگ (كلاف‌هاي تحتاني و فوقاني خرپا)، لاپه (پرلين)، شاخه، تو حلقي، ركاب ، كلاف روي ديوار، چوب دار و ساير اعضاي مشابه، به استثناي تخته‌كوبي‌ها، بر حسب حجم چوب نصب شده.</t>
  </si>
  <si>
    <t>تهيه و نصب خرپاي چوبي با چهار تراش از چوب نراد خارجي شامل كش، لنگ (كلاف‌هاي تحتاني و فوقاني خرپا)، لاپه (پرلين)، شاخه، تو حلقي، ركاب، كلاف روي ديوار، چوب دار و ساير اعضاي مشابه، به استثناي تخته‌كوبي‌ها، بر حسب حجم چوب نصب شده.</t>
  </si>
  <si>
    <t>تهيه مصالح و كوبيدن توفال در زير شيرواني با هر نوع چوب.</t>
  </si>
  <si>
    <t>تهيه مصالح و كوبيدن تخته زير ابروي شيرواني و تخته‌هاي دستكي زير كاه گل از تخته 3 سانتي‌متري داخلي.</t>
  </si>
  <si>
    <t>تهيه مصالح و كوبيدن تخته زير ابروي شيرواني و تخته‌هاي دستكي زير كاه گل ازچوب 3 سانتي‌متري نراد خارجي.</t>
  </si>
  <si>
    <t>تهيه و اجراي تير ريزي سقف با تيرهاي چوبي از نوع چهار تراش داخلي به ابعاد 20×10 سانتي‌متر، با تمام لوازم و متعلقات مربوط.</t>
  </si>
  <si>
    <t>تهيه و اجراي تير ريزي سقف با تيرهاي چوبي از نوع چهار تراش نراد خارجي به ابعاد 20×10 سانتي‌متر با تمام لوازم و متعلقات مربوط.</t>
  </si>
  <si>
    <t>تهيه مصالح و كوبيدن لمبه با چوب نراد خارجي روي زيرسازي چوبي.</t>
  </si>
  <si>
    <t>نصب انواع پاركت چوبي روي سطوح آماده شده با ساب و لاك لازم.</t>
  </si>
  <si>
    <t>اجراي روكش روي كارهاي چوبي، همراه با پرداخت سطح روكش شده، به طور كامل.</t>
  </si>
  <si>
    <t>تهيه و نصب چوب‌هاي ضربه گير لبه سكوها، همراه با چوب‌هاي صليبي داخل سكو، از چوب نراد خارجي بر حسب حجم چوب‌هاي نصب شده.</t>
  </si>
  <si>
    <t>كاشي كاري با كاشي لعابي با سطح تا 2/5 دسيمتر مربع.</t>
  </si>
  <si>
    <t>كاشي كاري با كاشي لعابي با سطح بيش از 2/5 تا 3/5 دسيمتر مربع.</t>
  </si>
  <si>
    <t>كاشي كاري با كاشي لعابي با سطح بيش از 3/5 تا 4 دسيمتر مربع.</t>
  </si>
  <si>
    <t>كاشي كاري با كاشي لعابي با سطح بيش از 4 تا 4/5 دسيمتر مربع.</t>
  </si>
  <si>
    <t>كاشي كاري با كاشي لعابي با سطح بيش از 4/5 تا 5 دسيمتر مربع.</t>
  </si>
  <si>
    <t>كاشي كاري با كاشي لعابي با سطح بيش از 5 تا 6 دسيمتر مربع.</t>
  </si>
  <si>
    <t>كاشي كاري با كاشي لعابي با سطح بيش از 6 تا 9 دسيمتر مربع.</t>
  </si>
  <si>
    <t>كاشي كاري با كاشي لعابي با سطح بيش از 9 دسيمتر مربع.</t>
  </si>
  <si>
    <t>کاشی کاری با کاشی لعابی استخری.</t>
  </si>
  <si>
    <t>اضافه‌ بها به رديف‌هاي 200101 تا 200108 چنانچه در رديف‌هاي كاشي بجاي ملات از چسب استفاده شود.</t>
  </si>
  <si>
    <t>نصب سراميك لعابدار با سطح 1 تا 2/5 دسيمتر مربع.</t>
  </si>
  <si>
    <t>نصب سراميك لعابدار با سطح 2/5 تا 4 دسيمتر مربع.</t>
  </si>
  <si>
    <t>نصب سراميك لعابدار با سطح 4 تا 5 دسيمتر مربع.</t>
  </si>
  <si>
    <t>نصب سراميك لعابدار با سطح بيش از 5 تا 6 دسيمتر مربع.</t>
  </si>
  <si>
    <t>نصب سراميك لعابدار با سطح بيش از 6 تا 8 دسيمتر مربع.</t>
  </si>
  <si>
    <t>نصب سراميك لعابدار با سطح بيش از 8 تا 9 دسيمتر مربع.</t>
  </si>
  <si>
    <t>نصب سراميك لعابدار با سطح بيش از 9 تا 11 دسيمتر مربع.</t>
  </si>
  <si>
    <t>نصب سراميك لعابدار با سطح بيش از 11 تا 16 دسيمتر مربع.</t>
  </si>
  <si>
    <t>نصب سراميك لعابدار با سطح بيش از 16 تا 22 دسيمتر مربع.</t>
  </si>
  <si>
    <t>نصب سراميك ضد اسيد بدون لعاب.</t>
  </si>
  <si>
    <t>نصب سراميك ضد اسيد لعابدار.</t>
  </si>
  <si>
    <t>نصب سراميك گرانيتي مات.</t>
  </si>
  <si>
    <t>اضافه بها به رديف 200501 چنانچه از سراميك كاليبره استفاده شود.</t>
  </si>
  <si>
    <t>اضافه بها به رديف‌هاي 200501 و 200502 چنانچه سراميك ساب خورده سطح آن صيقلي باشد.</t>
  </si>
  <si>
    <t>فرش كف با موزاييك سيماني ساده به ابعاد 25×25 سانتي‌متر، با 2/5 سانتي‌متر ماسه نرم زير آن و دوغاب‌ريزي.</t>
  </si>
  <si>
    <t>فرش كف با موزاييك سيماني ساده به ابعاد 30×30 سانتي‌متر، با 2/5 سانتي‌متر ماسه نرم زيرآن و دوغاب‌ريزي.</t>
  </si>
  <si>
    <t>فرش كف باموزاييك سيماني ساده به ابعاد 25×25 سانتي‌متر.</t>
  </si>
  <si>
    <t>فرش كف با موزاييك سيماني ساده به ابعاد 30×30 سانتي‌متر.</t>
  </si>
  <si>
    <t>فرش كف با موزاييك ايراني به ابعاد 15×15 سانتي‌متر.</t>
  </si>
  <si>
    <t>فرش كف با موزاييك ايراني به ابعاد 25×25 سانتي‌متر.</t>
  </si>
  <si>
    <t>فرش كف با موزاييك ايراني به ابعاد 30×30 سانتي‌متر.</t>
  </si>
  <si>
    <t>فرش كف با موزاييك ايراني به ابعاد 40×40 سانتي‌متر.</t>
  </si>
  <si>
    <t>فرش كف با موزاييك فرنگي با خرده سنگ‌هاي تا نمره 4 به ابعاد 15×15 سانتي‌متر.</t>
  </si>
  <si>
    <t>فرش كف با موزاييك فرنگي با خرده سنگ‌هاي تا نمره 4 به ابعاد 25×25 سانتي‌متر.</t>
  </si>
  <si>
    <t>فرش كف با موزاييك فرنگي با خرده سنگ‌هاي تا نمره 4 به ابعاد30×30 سانتي‌متر.</t>
  </si>
  <si>
    <t>فرش كف با موزاييك فرنگي با خرده سنگ‌هاي تا نمره 4 به ابعاد 40×40 سانتي‌متر.</t>
  </si>
  <si>
    <t>اضافه بها به رديف‌هاي 210301 تا 210304، در صورتي كه سنگ‌هاي نمره 5 يا بيشتردر آن‌ها به كار رود.</t>
  </si>
  <si>
    <t>اضافه بها به رديف‌هاي 210303 و 210304، در صورتي كه لاشه سنگ‌هاي درشت مرمر يا مرمريت در آن به كاررود.</t>
  </si>
  <si>
    <t>فرش كف با موزاييك ماشيني ايراني.</t>
  </si>
  <si>
    <t>فرش كف با موزاييك ماشيني فرنگي.</t>
  </si>
  <si>
    <t>فرش كف با موزاييك ماشيني طرح گرانيت.</t>
  </si>
  <si>
    <t>فرش كف با موزاييك ماشيني آجدار ايراني.</t>
  </si>
  <si>
    <t>فرش كف با موزاييك ماشيني آجدار فرنگي.</t>
  </si>
  <si>
    <t>تهيه مصالح و اجراي موزاييك ويبره‌اي كارخانه‌اي (واش بتن) با هر نوع ملات.</t>
  </si>
  <si>
    <t>تهيه و نصب سنگ پلاك در سطوح افقي از نوع تراورتن سفيد به ‌ضخامت 1/5 تا 2 سانتي‌متر.</t>
  </si>
  <si>
    <t>تهيه و نصب سنگ پلاك در سطوح افقي از نوع تراورتن ليمويي آذرشهر به‌ ضخامت 1/5 تا 2 سانتي‌متر.</t>
  </si>
  <si>
    <t>تهيه و نصب سنگ پلاك در سطوح افقي از نوع تراورتن قرمز آذر شهر به ‌ضخامت 1/5 تا 2 سانتي‌متر.</t>
  </si>
  <si>
    <t>تهيه و نصب سنگ پلاك لاشه تراورتن براي كف.</t>
  </si>
  <si>
    <t>تهيه و نصب سنگ پلاك سياه لاشتر اصفهان در سطوح افقي، به ضخامت 1/5 تا 2 سانتي‌متر.</t>
  </si>
  <si>
    <t>تهيه و نصب سنگ پلاك سياه نجف آباد در سطوح افقي به ضخامت 1/5 تا 2 سانتي‌متر.</t>
  </si>
  <si>
    <t>تهيه و نصب سنگ پلاك مرمريت گوهره خرم آباد در سطوح افقي به ضخامت 1/5 تا 2 سانتي‌متر.</t>
  </si>
  <si>
    <t>تهيه و نصب سنگ پلاك قرمز سنندج در سطوح افقي به ضخامت 1/5 تا 2 سانتي‌متر.</t>
  </si>
  <si>
    <t>تهيه و نصب سنگ پلاك مرمريت كرم و يا صورتي آباده در سطوح افقي به ضخامت 1/5 تا 2 سانتي‌متر.</t>
  </si>
  <si>
    <t>تهيه و نصب سنگ پلاك مرمريت كرم و يا صورتي كرمان در سطوح افقي به ضخامت 1/5 تا 2 سانتي‌متر.</t>
  </si>
  <si>
    <t>تهيه و نصب سنگ پلاك مرمريت صورتي بجستان يا انارک در سطوح افقي به ضخامت 1/5 تا 2 سانتي‌متر.</t>
  </si>
  <si>
    <t>تهيه و نصب سنگ پلاك مرمريت جوشقان در سطوح افقي به ضخامت 1/5 تا 2 سانتي‌متر.</t>
  </si>
  <si>
    <t>تهيه و نصب سنگ پلاك مرمريت سميرم درسطوح افقي به ضخامت 1/5 تا 2 سانتي‌متر.</t>
  </si>
  <si>
    <t>تهيه و نصب سنگ پلاك مرمريت بوژان در سطوح افقي به ضخامت 1/5 تا 2 سانتي‌متر.</t>
  </si>
  <si>
    <t>تهيه و نصب سنگ پلاك مرمريت گندمك در سطوح افقي به ضخامت 1/5 تا 2 سانتي‌متر.</t>
  </si>
  <si>
    <t>تهيه و نصب سنگ پلاك مرمريت کاشمر يا خور و بيابانک در سطوح افقي به ضخامت 1/5 تا 2 سانتي‌متر.</t>
  </si>
  <si>
    <t>تهيه و نصب سنگ پلاك چيني سفيد قروه در سطوح افقي به ضخامت 1/5 تا 2 سانتي‌متر.</t>
  </si>
  <si>
    <t>تهيه و نصب سنگ پلاك چيني كريستال قروه درسطوح افقي به ضخامت 1/5 تا 2 سانتي‌متر.</t>
  </si>
  <si>
    <t>تهيه ونصب سنگ پلاك چيني نيريز در سطوح افقي به ضخامت 1/5 تا 2 سانتي‌متر.</t>
  </si>
  <si>
    <t>تهيه و نصب سنگ پلاك چيني اليگودرز در سطوح افقي به ضخامت 1/5 تا 2 سانتي‌متر.</t>
  </si>
  <si>
    <t>تهيه و نصب سنگ پلاك چيني ازنا در سطوح افقي به ضخامت 1/5 تا 2 سانتي‌متر.</t>
  </si>
  <si>
    <t>تهيه و نصب سنگ پلاك چيني ابري لايبيد در سطوح افقي به ضخامت 1/5 تا 2 سانتي‌متر.</t>
  </si>
  <si>
    <t>تهيه و نصب سنگ پلاك چيني سفيد سيرجان درسطوح افقي به ضخامت 1/5 تا 2 سانتي‌متر.</t>
  </si>
  <si>
    <t>تهيه و نصب سنگ بادبر به ابعاد 30×15 از تراورتن قرمز اصفهان و يا تراورتن سفيد.</t>
  </si>
  <si>
    <t>تهيه و نصب سنگ بادبر به ابعاد 30×15 از سنگ مرمريت جوشقان.</t>
  </si>
  <si>
    <t>تهيه و نصب سنگ گرانيت شكلاتي خرم دره در سطوح افقي به ضخامت 1/5 تا 2 سانتي‌متر.</t>
  </si>
  <si>
    <t>تهيه و نصب گرانيت سبز پيرانشهر در سطوح افقي به ضخامت 1/5 تا 2 سانتي‌متر.</t>
  </si>
  <si>
    <t>تهيه و نصب گرانيت سبز بيرجند در سطوح افقي به ضخامت 1/5 تا 2 سانتي‌متر.</t>
  </si>
  <si>
    <t>تهيه و نصب سنگ گرانيت گل پنبه‌اي در سطوح افقي به ضخامت 1/5 تا 2 سانتي‌متر.</t>
  </si>
  <si>
    <t>تهيه و نصب سنگ گرانيت سفيد نطنز در سطوح افقي به ضخامت 1/5 تا 2 سانتي‌متر.</t>
  </si>
  <si>
    <t>تهيه و نصب سنگ گرانيت مشکي نطنز در سطوح افقي به ضخامت 1/5 تا 2 سانتي‌متر.</t>
  </si>
  <si>
    <t>تهيه و نصب سنگ گرانيت مشکي تويسرکان در سطوح افقي به ضخامت 1/5 تا 2 سانتي‌متر.</t>
  </si>
  <si>
    <t>تهيه و نصب سنگ گرانيت يزد در سطوح افقي به ضخامت 1/5 تا 2 سانتي‌متر.</t>
  </si>
  <si>
    <t>تهيه و نصب سنگ گرانيت کرم نهبندان در سطوح افقي به ضخامت 1/5 تا 2 سانتي‌متر.</t>
  </si>
  <si>
    <t>اضافه بها نسبت به رديف‌هاي تهيه و نصب سنگ پلاك در سطوح افقي، در صورتي كه سنگ‌هاي پلاك در سطوح قايم نصب شوند.</t>
  </si>
  <si>
    <t>اضافه بها نسبت به رديف‌هاي تهيه و نصب سنگ پلاك براي تهيه واجراي كامل اسكوپ در سنگ‌هاي پلاك بجز سنگ‌هاي گرانيت براي سطوح قايم.</t>
  </si>
  <si>
    <t>اضافه بهابه رديف‌هاي تهيه و نصب سنگ پلاك ، براي تهيه و اجراي كامل اسكوپ در سنگ‌هاي گرانيت براي سطوح قايم.</t>
  </si>
  <si>
    <t>اضافه بها به رديف‌هاي سنگ كاري قائم در صورتي كه سطح كار داراي انحنا باشد.</t>
  </si>
  <si>
    <t>اضافه بها به سنگ كاري سطوح افقي در صورتي كه سنگ در سقف درگاهي و پنجره نصب شود.</t>
  </si>
  <si>
    <t>اضافه بها به رديف‌هاي سنگ كاري سنگ‌هاي پلاك در سطوح قائم وقتي بدون استفاده از ملات و به صورت خشك نصب شوند.</t>
  </si>
  <si>
    <t>اضافه بها براي تيشه‌اي كردن يا كلنگي كردن سنگ‌هاي پلاك.</t>
  </si>
  <si>
    <t>گرد كردن لبه سنگ، تعبيه شيار‏‏‏، چفت و آبچكان سنگ‌هاي پلاك بجز گرانيت براي هر مورد.</t>
  </si>
  <si>
    <t>گرد كردن لبه سنگ، تعبيه شيار‏‏‏، چفت و آبچكان سنگ‌هاي پلاك گرانيت براي هر مورد.</t>
  </si>
  <si>
    <t>تهيه و نصب قرنيز به ارتفاع 10 سانتي‌متر و به ضخامت 1 سانتي‌متر از انواع سنگ تراورتن سفيد.</t>
  </si>
  <si>
    <t>تهيه و نصب قرنيز به ارتفاع 10 سانتي‌متر و به ضخامت 1 سانتي‌متر از انواع سنگ مرمريت.</t>
  </si>
  <si>
    <t>تهيه و نصب قرنيز به ارتفاع 10 سانتي‌متر و به ضخامت 1 سانتي‌متر از انواع سنگ چيني.</t>
  </si>
  <si>
    <t>تهيه و نصب قرنيز به ارتفاع 10 سانتي‌متر و به ضخامت 1 سانتي‌متر از سنگ گرانيت کرم نهبندان.</t>
  </si>
  <si>
    <t>تهيه، حمل و نصب جدول‌هاي سنگي با سنگ تراورتن سفيد، به ضخامت 6 سانتي‌متر به همراه اجراي بتن تقويت و بند كشي با ملات ماسه سيمان.</t>
  </si>
  <si>
    <t>اضافه بهاي افزايش ضخامت به رديف 220801، به ازاي هر سانتي‌متر اضافه ضخامت.</t>
  </si>
  <si>
    <t>تهيه، حمل و نصب جدول‌هاي سنگي با سنگ چيني لايبيد، به ضخامت 6 سانتي‌متر به همراه اجراي بتن تقويت و بند كشي با ملات ماسه سيمان.</t>
  </si>
  <si>
    <t>اضافه بهاي افزايش ضخامت به رديف 220803، به ازاي هر سانتي‌متر اضافه ضخامت.</t>
  </si>
  <si>
    <t>تهيه، حمل و نصب جدول‌هاي سنگي با سنگ لاشتر خاكستري (سياه)، به ضخامت 6 سانتي‌متر به همراه اجراي بتن تقويت و بند كشي با ملات ماسه سيمان.</t>
  </si>
  <si>
    <t>اضافه بهاي افزايش ضخامت به رديف 220805، به ازاي هر سانتي‌متر اضافه ضخامت.</t>
  </si>
  <si>
    <t>تهيه، حمل و نصب سنگ مكعبي (كيوبيك) به ابعاد 10×10×10 سانتي‌متر در كف با سنگ تراورتن سفيد، با ملات ماسه سيمان.</t>
  </si>
  <si>
    <t>تهيه، حمل و نصب سنگ مكعبي (كيوبيك) به ابعاد 10×10×10 سانتي‌متر در كف با سنگ گرانيت شكلاتي خرم‌دره، با ملات ماسه سيمان.</t>
  </si>
  <si>
    <t>تهيه، حمل و نصب سنگ مكعبي (كيوبيك) به ابعاد 10×10×10 سانتي‌متر در كف با سنگ گرانيت كرم نهبندان، با ملات ماسه سيمان.</t>
  </si>
  <si>
    <t>تهيه، حمل و نصب سنگ مكعبي (كيوبيك) به ابعاد 10×10×10 سانتي‌متر در كف با سنگ گرانيت يزد، با ملات ماسه سيمان.</t>
  </si>
  <si>
    <t>تهيه و نصب كف پوش پلاستيكي (از نوع وينيل)، به صورت رول و با ضخامت 1/5 ميلي‌متر.</t>
  </si>
  <si>
    <t>تهيه و نصب كف پوش پلاستيكي (از نوع وينيل)، به صورت رول و با ضخامت 2 ميلي‌متر.</t>
  </si>
  <si>
    <t>تهيه و نصب كف پوش پلاستيكي (از نوع وينيل)، به صورت تايل به ابعادمختلف و ضخامت 7/1 ميلي‌متر.</t>
  </si>
  <si>
    <t>تهيه و نصب كف پوش پلاستيكي (از نوع وينيل)، به صورت تايل به ابعاد مختلف و ضخامت 2 ميلي‌متر.</t>
  </si>
  <si>
    <t>تهيه و نصـب كـف پوش پلاستيكي (از نوع وينيل)، به صورت رول با طرح پولكي و با ضخامـت 2 ميلي‌متر.</t>
  </si>
  <si>
    <t>تهيه و نصـب كـف پوش پلاستيكي (از نوع وينيل)، به صورت رول با طرح پولكي و با ضخامـت 2/5 ميلي‌متر.</t>
  </si>
  <si>
    <t>تهيه و نصـب كـف پوش پلاستيكي (از نوع وينيل)، به صورت رول با طرح پولكي و با ضخامـت 3 ميلي‌متر.</t>
  </si>
  <si>
    <t>تهيه و نصـب كـف پوش پلاستيكي (از نوع وينيل)، به صورت تايل به ابعاد مختلف با طرح پولكي و ضخامـت 2 ميلي‌متر.</t>
  </si>
  <si>
    <t>تهيه و نصـب كـف پوش پلاستيكي (از نوع وينيل)، به صورت تايل به ابعاد مختلف با طرح پولكي و ضخامـت 3 ميلي‌متر.</t>
  </si>
  <si>
    <t>تهيه و نصب كف پوش لاستيكي آجدار، به صورت رول و با ضخامت 2/5 ميلي‌متر.</t>
  </si>
  <si>
    <t>تهيه و نصب كف پوش لاستيكي آجدار، به صورت رول و با ضخامت 3 ميلي‌متر.</t>
  </si>
  <si>
    <t>تهيه و نصب كف پوش لاستيكي آجدار، به صورت رول و با ضخامت 4 ميلي‌متر.</t>
  </si>
  <si>
    <t>تهيه و نصب كف پوش لاستيكي، به صورت تايل به ابعاد مختلف و ضخامت 1/5 ميلي‌متر.</t>
  </si>
  <si>
    <t>تهيه و نصب پوشش پلاستيكي ديوارها از نوع پروفيل پي. وي. سي، به عرض 10 سانتي‌متر.</t>
  </si>
  <si>
    <t>تهيه و نصب لبه پوشش پلاستيكي، از نوع پروفيل پي. وي. سي.</t>
  </si>
  <si>
    <t>تهيه و نصب نبشي پلاستيكي، از نوع پروفيل پي. وي. سي.</t>
  </si>
  <si>
    <t>تهيه و نصب قرنيز پي وي سي فشرده به ارتفاع 10 سانتي‌متر و ضخامت 5 ميلي‌متر.</t>
  </si>
  <si>
    <t>تهیه ، ساخت و نصب لوله ناودانی از حنس پی وی سی برای مصرف روکار به قطر 90 تا 125 میلی متر.</t>
  </si>
  <si>
    <t>تهيه و نصب ورق‌هاي موجدار پي. وي. سي به ضخامت حدود 2 ميلي‌متر.</t>
  </si>
  <si>
    <t>تهيه و نصب ورق‌هاي بدون موج پلي استايرن به ضخامت حدود 3 ميلي‌متر.</t>
  </si>
  <si>
    <t>تهيه و نصب ورق‌هاي بدون موج آكريليك به ضخامت حدود 3 ميلي‌متر .</t>
  </si>
  <si>
    <t>تهيه ونصب پلاستوفوم (يونوليت) با هر چگالي، سفيد يا الوان به ضخامت يك سانتي‌متر، باتمام وسايل نصب بدون زيرسازي.</t>
  </si>
  <si>
    <t>اضافه بها به رديف 230601 به ازاي هر سانتي‌متر كه به ضخامت يك سانتي‌متر اضافه شود، كسر سانتي‌متر به تناسب محاسبه مي شود.</t>
  </si>
  <si>
    <t>تهيه و نصب نايلون (فيلم پلي اتيلن) به وزن حدود150 گرم در متر مربع ، براي اطراف بتن و يا كارهاي مشابه آن، كه نايلون الزاما در كارباقي بماند.</t>
  </si>
  <si>
    <t>تهيه و نصب ورق‌هاي پلاستيك تقويت شده با فايبرگلاس موج‌دار به ضخامت حدود 9/0 ميلي‌متر.</t>
  </si>
  <si>
    <t>تهيه و نصب ورق‌هاي پلاستيك تقويت شده با فايبرگلاس بدون موج به ضخامت حدود 1/5 ميلي‌متر.</t>
  </si>
  <si>
    <t>تهيه و نصـب ورق‌هاي پلاستيـك تقويـت شده با فايبرگلاس موج‌دار به ضخامـت حدود 1/5 ميلي‌متر.</t>
  </si>
  <si>
    <t>تهيه و نصب واتر استاپ به عرض 15 سانتي‌متر، ازجنس پي. وي. سي.</t>
  </si>
  <si>
    <t>اضافه بها به رديف 230901، براي هر سانتي‌متر اضافه بر 15 سانتي‌متر.</t>
  </si>
  <si>
    <t>تهيه و نصب واتر استاپ به عرض 15 سانتي‌متر، ازجنس لاستيك.</t>
  </si>
  <si>
    <t>اضافه بها به رديف 230903، براي هر سانتي‌متر اضافه بر 15 سانتي‌متر.</t>
  </si>
  <si>
    <t>تهیه و اجرای واتر استاپ بنتونیتی به طور کامل بر حسب متر طول درز.</t>
  </si>
  <si>
    <t>تهیه و اجرای ماستیک آب بند پلی یورتان برای مصرف در درزها با پرداخت سطح به طور کامل.</t>
  </si>
  <si>
    <t>ایتر</t>
  </si>
  <si>
    <t>تهيه و جاگذاري غلاف پلاستيكي در بتن براي عبور لوله و ساير مصارف.</t>
  </si>
  <si>
    <t>تهيه، سوراخ‌کاري و جاگذاري لوله پلاستيكي براي زهکشي.</t>
  </si>
  <si>
    <t>تهيه و نصب پله فولادي با روکش پروپيلن.</t>
  </si>
  <si>
    <t>تهيه، ساخت و نصب پنجره با پروفيل U.P.V.C، تا مساحت 75/. متر مربع.</t>
  </si>
  <si>
    <t>تهيه، ساخت و نصب پنجره با پروفيل U.P.V.C، به مساحت بيش از 75/. تا 2 متر مربع.</t>
  </si>
  <si>
    <t>تهيه، ساخت و نصب پنجره با پروفيل U.P.V.C، به مساحت بيش از 2 متر مربع.</t>
  </si>
  <si>
    <t>تهيه مصالح و اجراي ژئوگريد تک سويه مسلح کننده خاک داراي مقاومت نهايي (LTDS) 120 ساله در محيط خاکي (9 &gt; PH و PH &gt; 4) به ميزان KN/m 20 جهت ساخت ديوارهاي حايل خاک مسلح و تسليح شيب‌ها.</t>
  </si>
  <si>
    <t>تهيه مصالح و اجراي ژئوگريد دو سويه مسلح کننده خاک داراي مقاومت نهايي (LTDS) 120 ساله در محيط خاکي (9 &gt; PH و PH &gt; 4) به ميزان KN/m   5جهت تثبیت بسترای سست ، باتلاقی و غیره.</t>
  </si>
  <si>
    <t>اضافه بها به رديف‌هاي 231201 و 231202 به ازاي هر  KN/m5 افزايش در مقاومت کششي نهايي (LTDS) 120 ساله.</t>
  </si>
  <si>
    <t>اضافه بها به رديف هاي 231201 و 231202 زماني که  ژئوگريد در محيط قليايي PH &gt; 9  يا  محیط اسيدي  PH &lt; 4 استفاده گردد.</t>
  </si>
  <si>
    <t>اضافه بها نصب ژئوگريد در نماهاي Wrap-around بابت متراژي که در نما ديده مي‌شود.</t>
  </si>
  <si>
    <t>تهيه مصالح و اجراي ژئوممبراين (زمين غشا) از جنس پلي اتيلن سنگين (high density poly ethylene) به ضخامت 1 ميلي‌متر براي عايق کاري سطوح و سازه‌هاي مختلف، مانند مخازن آب، سدها، حوضچه‌هاي فاضلاب و استخرهاي کشاورزي.</t>
  </si>
  <si>
    <t>تهيه مصالح و اجراي ژئوتكستايل بافته (زمين پارچه) با مقاومت کششي 100 كيلو نيوتن بر متر طول و کرنش حداکثر 12% به منظور افزايش ظرفيت باربري و تسليح خاك.</t>
  </si>
  <si>
    <t>اضافه ‌بها به رديف 231207 به ازاي هر 50 كيلونيوتن افزايش در مقاومت كششي در هر جهت.</t>
  </si>
  <si>
    <t>اضافه بها به رديف 180901 در صورتي‌كه بين صفحات گچي يك لايه پوشش عايق از جنس پلي‌استايرن اكسترود شده به ضخامت 70 تا 85 ميلي‌متر قرار گيرد.</t>
  </si>
  <si>
    <t>متر مربع</t>
  </si>
  <si>
    <t>اضافه بها به رديف 180901 در صورتي‌كه به‌ جاي صفحات گچي از صفحات پلي‌استايرن اكسترود شده به ضخامت 70 تا 85 ميلي‌متر استفاده شود.</t>
  </si>
  <si>
    <t>تهيه و نصب نماي پيش‌ساخته از جنس پلي‌استايرن با پوشش سيمان پليمري و سيليس به ضخامت پوشش 3 تا 5 ميلي‌متر و ضخامت كل تا 55 ميلي‌متر، با هر رنگ و سطح صاف.</t>
  </si>
  <si>
    <t>تهيه و نصب ابزارهاي تزييني پيش‌ساخته از جنس پلي‌استايرن با پوشش سيمان پليمري و سيليس به ضخامت پوشش 3 تا 5 ميلي‌متر و ضخامت كل تا 55 ميلي‌متر به عرض تا 200 ميلي‌متر، با هر رنگ و سطح صاف.</t>
  </si>
  <si>
    <t>اضافه بها به رديف 231402 به‌ازاي هر 100 ميلي‌متر افزايش عرض ابزار .</t>
  </si>
  <si>
    <t>تهيه و نصب ابزارهاي تزييني پيش‌ساخته گوشه سقف،‌ ديوار و چارچوب‌ها از جنس پلي‌استايرن اكسترود شده با ضخامت 8 تا 15 ميلي‌متر به‌ عرض تا 175 ميلي‌متر، با هر رنگ و سطح صاف.</t>
  </si>
  <si>
    <t>اضافه بها به رديف 231501 براي ابزار به‌ عرض بيش از 175 ميلي‌متر  تا 350 ميلي‌متر.</t>
  </si>
  <si>
    <t>تهیه مصالح و اجرای کف پوش اپوکسی با بنیان رزین اپوکسی و سخت کننده مربوط برای پوشش کف سازی های بتنی تا ضخامت 3 میلی متر در تصفیه خانه های آب و فاضلاب یا ابنیه آبی.</t>
  </si>
  <si>
    <t>اضافه بها به ردیف 231601 به ازای هر میلی متر افزایش ضخامت تا 5 میی متر.</t>
  </si>
  <si>
    <t>تهيه و نصب شيشه 3 ميلي‌متري ساده با چسب سيليکون.</t>
  </si>
  <si>
    <t>تهيه و نصب شيشه 4 ميلي‌متري ساده با چسب سيليکون.</t>
  </si>
  <si>
    <t>تهيه و نصب شيشه 5 ميلي‌متري ساده با چسب سيليکون.</t>
  </si>
  <si>
    <t>تهيه و نصب شيشه 6 ميلي‌متري ساده با چسب سيليکون.</t>
  </si>
  <si>
    <t>تهيه و نصب شيشه 8 ميلي‌متري ساده با چسب سيليکون.</t>
  </si>
  <si>
    <t>تهيه و نصب شيشه 10 ميلي‌متري ساده با چسب سيليکون.</t>
  </si>
  <si>
    <t>تهيه و نصب شيشه 4 ميلي‌متري مشجر با چسب سيليکون.</t>
  </si>
  <si>
    <t>تهيه و نصب شيشه 6 ميلي‌متري مشجر با چسب سيليکون.</t>
  </si>
  <si>
    <t>تهيه و نصب شيشه 10 ميلي‌متري مشجر با چسب سيليکون.</t>
  </si>
  <si>
    <t>تهيه و نصب شيشه نشکن (سکوريت) به ضخامت 4 ميلي‌متر با نوار پلاستيکي.</t>
  </si>
  <si>
    <t>تهيه و نصب شيشه نشکن (سکوريت) به ضخامت 5 ميلي‌متر با نوار پلاستيکي.</t>
  </si>
  <si>
    <t>تهيه و نصب شيشه نشکن (سکوريت) به ضخامت 6 ميلي‌متر با نوار پلاستيکي.</t>
  </si>
  <si>
    <t>تهيه و نصـب شيشه نشكن (سكوريت) به ضخامت 8 ميلي‌متر با نوار پلاستيكي.</t>
  </si>
  <si>
    <t>تهيه و نصـب شيشه نشكن (سكوريت) به ضخامت 10 ميلي‌متر با نوار پلاستيكي.</t>
  </si>
  <si>
    <t>تهيه و نصـب شيشه نشكن (سكوريت) اعم از ثابت با بازشو به ضخامت 10 ميلي‌متر كه در داخل قاب نصب نمي‌شود بدون لولا، يراق‌آلات و اتصالات.</t>
  </si>
  <si>
    <t>تهيه و نصب شيشه 4 ميلي‌متري رفلکتيو (بازتابنده) رنگي.</t>
  </si>
  <si>
    <t>تهيه و نصب شيشه 6 ميلي‌متري رفلکتيو (بازتابنده) رنگي.</t>
  </si>
  <si>
    <t>تهيه و نصب آجر شيشه‌اي به ابعاد 15×15 سانتي‌متر با ملات دوغاب مربوط در كف (شبكه فلزي جداگانه پرداخت مي‌شود).</t>
  </si>
  <si>
    <t>تهيه و نصب آجر شيشه‌اي به ابعاد 20×20 سانتي‌متر با ملات دوغاب مربوط در كف (شبكه فلزي جداگانه پرداخت مي‌شود).</t>
  </si>
  <si>
    <t>تهيه و نصب بلوك‌هاي شيشه‌اي تو خالي مخصوص نما به ابعاد مختلف و ضخامت 8 سانتي‌متر.</t>
  </si>
  <si>
    <t>سند بلاست کردن شيشه (مات کردن شيشه به طريق ماسه پاشي).</t>
  </si>
  <si>
    <t>اضافه بها به رديف‌هاي 240101 تا 240106‏، اگر شيشه به صورت فلوت باشد.</t>
  </si>
  <si>
    <t>اضافه بها به رديف‌هاي 240101 تا 240106‏، 240201 و 240202 در صورتي‌ كه شيشه‌ها رنگي باشد.</t>
  </si>
  <si>
    <t>اضافه بها به رديف‌هاي 240301 تا 240305‏، اگر شيشه‌هاي سكوريت رنگي باشند.</t>
  </si>
  <si>
    <t>اضافه بها به رديف‌هاي 240306‏، در صورتي كه شيشه رنگي باشد.</t>
  </si>
  <si>
    <t>اضافه بها به رديف‌هاي 240301 تا 240305‏، در صورتي كه در نصب شيشه بجاي نوار، از چسب سيليكون استفاده شود.</t>
  </si>
  <si>
    <t>اضافه بها نسبت به رديف‌هاي تهيه و نصب شيشه اگر شيشه به صورت دوجداره تهيه و مصرف شود، برحسب محيط شيشه دوجداره شده.</t>
  </si>
  <si>
    <t>كسر بها به رديف‌هاي 240101 تا 240106 و 240201 تا 240203، در صورتي كه بجاي چسب سيليكون از نوار پلاستيكي استفاده شود.</t>
  </si>
  <si>
    <t>كسر بها به رديف‌هاي 240101 تا 240106 و 240201 تا 240203، در صورتي كه بجاي چسب سيليكون از بطانه استفاده شود.</t>
  </si>
  <si>
    <t>لايه کاري (Lamination) دو شيشه مسطح.</t>
  </si>
  <si>
    <t>سمباده يا برس زدن (زنگ زدايي) اسكلت‌هاي فلزي و يا ميل‌گرد.</t>
  </si>
  <si>
    <t>سمباده يا برس زدن (زنگ زدايي) كارهاي فلزي به استثناي اسكلت‌هاي فلزي و ميل‌گرد.</t>
  </si>
  <si>
    <t>زنگ زدايي اسكلت‌هاي فلزي و يا ميل‌گرد به روش ماسه پاشي (سندبلاست).</t>
  </si>
  <si>
    <t>زنگ زدايي كارهاي فلزي به استثناي اسكلت‌هاي فلزي و ميل‌گرد، به روش ماسه پاشي (سندبلاست).</t>
  </si>
  <si>
    <t>زنگ زدايي اسكلت‌هاي فلزي، به روش ساچمه پاشي (شات بلاست).</t>
  </si>
  <si>
    <t>زنگ زدايي كارهاي فلزي به استثناي اسكلت‌هاي فلزي، به روش ساچمه پاشي (شات بلاست).</t>
  </si>
  <si>
    <t>تهيه مصالح و اجراي يك دست رنگ ضد زنگ روي اسكلت فلزي.</t>
  </si>
  <si>
    <t>تهيه مصالح و اجراي يك دست رنگ ضد زنگ روي كارهاي فلزي به استثناي اسكلت‌هاي فلزي.</t>
  </si>
  <si>
    <t>تهيه مصالح و اجراي رنگ اپوكسي براي مخازن و ساير كارهاي فلزي، شامل دوقشر ضد زنگ براي اپوكسي، يك قشرآستر و يك قشر رويه.</t>
  </si>
  <si>
    <t>تهيه مصالح و اجراي رنگ روغني كامل روي كارهاي فلزي.</t>
  </si>
  <si>
    <t>تهيه مصالح و اجراي رنگ اكليلي كامل روي كارهاي فلزي.</t>
  </si>
  <si>
    <t>تهيه مصالح و اجراي رنگ اپوکسي به طريق بدون هوا (air less)، روي کارهاي فلزي در سه قشر، هر قشر به ضخامت خشک 25 ميکرون.</t>
  </si>
  <si>
    <t>اضافه بها به رديف 250306 به ازاي هر سه ميکرون اضافه ضخامت، به ازاي هر قشر.</t>
  </si>
  <si>
    <t>تهيه مصالح و اجراي رنگ زينک ريچ به طريق بدون هوا (air less)، روي کارهاي فلزي در سه قشر، هر قشر به ضخامت خشک 25 ميکرون.</t>
  </si>
  <si>
    <t>اضافه بها به رديف 250308 به ازاي هر سه ميکرون اضافه ضخامت، به ازاي هر قشر.</t>
  </si>
  <si>
    <t>تهيه مصالح و اجراي رنگ الکيدي به طريق بدون هوا (air less)، روي کارهاي فلزي در سه قشر، هر قشر به ضخامت خشک 25 ميکرون.</t>
  </si>
  <si>
    <t>اضافه بها به رديف 250310 به ازاي هر سه ميکرون اضافه ضخامت، به ازاي قشر.</t>
  </si>
  <si>
    <t>تهيه مصالح و اجراي رنگ روغني كامل روي در و ساير كارهاي چوبي.</t>
  </si>
  <si>
    <t>تهيه مصالح و رنگ آميزي كارهاي چوبي با رنگ پلي استر كامل.</t>
  </si>
  <si>
    <t>تهيه مصالح و اجراي رنگ لاك الكل روي كارهاي چوبي.</t>
  </si>
  <si>
    <t>تهيه مصالح و اجراي سيلر و كليركاري كامل روي كارهاي چوبي.</t>
  </si>
  <si>
    <t>تهيه مصالح و اجراي رنگ روغني كامل روي اندود گچي ديوارها و سقف‌ها.</t>
  </si>
  <si>
    <t>تهيه مصالح و اجراي رنگ پلاستيك كامل روي اندود گچي ديوارها و سقف‌ها.</t>
  </si>
  <si>
    <t>تهيه مصالح و اجراي رنگ نيم پلاستيك كامل روي اندود گچي ديوارها و سقف‌ها.</t>
  </si>
  <si>
    <t>تهيه مصالح و اجراي رنگ پلاستيك ماهوتي كامل روي اندود گچي ديوارها و سقف‌ها.</t>
  </si>
  <si>
    <t>تهيه مصالح و اجراي رنگ روغني ماهوتي كامل روي اندود گچي ديوارها و سقف‌ها.</t>
  </si>
  <si>
    <t>تهيه مصالح و اجراي رنگ آميزي با رنگ اكليل نسوز، شامل آستر و رويه.</t>
  </si>
  <si>
    <t>تهيه مصالح و اجراي خط كشي منقطع و متناوب به عرض 12 سانتي‌متر، با رنگ‌هاي ترافيك.</t>
  </si>
  <si>
    <t>تهيه مصالح و اجراي خط كشي متصل و مداوم به عرض 12 سانتي‌متر، با رنگ‌هاي ترافيك.</t>
  </si>
  <si>
    <t>تهيه مصالح و اجراي رنگ آميزي سطوح آسفالت و بتن با رنگ دوجزئي مانند خط عابر پياده.</t>
  </si>
  <si>
    <t>تهيه مصالح و اجراي رنگ آميزي روي سطوح صفحات سيمان و پنبه نسوز (آزبست)، با رنگ روغني شامل آستر و رويه.</t>
  </si>
  <si>
    <t>تهيه مصالح و اجراي رنـگ آميزي در نماهاي سيماني و بتني با رنگ امولسیوني هم بسپار (كوپليمر)، شامل دو قشر آستر و يك قشر رويه.</t>
  </si>
  <si>
    <t>تهيه مصالح و اجراي رنـگ آميزي در نماهاي سيماني و بتني با رنگ رزيني اکريليک و حلال آب شامل يک قشر پرايمر يک قشر آستر و يك قشر رويه.</t>
  </si>
  <si>
    <t>تهيه مصالح زيراساس ازمصالح رودخانه‌اي با دانه بندي صفر تا 50 ميلي‌متر.</t>
  </si>
  <si>
    <t>تهيه مصالح زير اساس از مصالح رودخانه‌اي با دانه بندي صفر تا 38 ميلي‌متر.</t>
  </si>
  <si>
    <t>تهيه مصالح زير اساس از مصالح رودخانه‌اي با دانه بندي صفر تا 25 ميلي‌متر.</t>
  </si>
  <si>
    <t>تهيه مصالح اساس از مصالح رودخانه‌اي با دانه بندي صفر تا50 ميلي‌متر، وقتي كه حداقل 50 درصد مصالح مانده روي الك نمره 4 در يك وجه شكسته باشد.</t>
  </si>
  <si>
    <t>تهيه مصالح اساس از مصالح رودخانه‌اي با دانه بندي صفر تا 38 ميلي‌متر، وقتي كه حداقل 50 درصد مصالح مانده روي الك نمره 4 در يك وجه شكسته باشد.</t>
  </si>
  <si>
    <t>تهيه مصالح اساس از مصالح رودخانه‌اي با دانه بندي صفر تا 25 ميلي‌متر، وقتي كه حداقل 50 درصد مصالح مانده روي الك نمره 4 در يك وجه شكسته باشد.</t>
  </si>
  <si>
    <t>اضافه بها به رديف‌هاي 260301 تا 260303 ، در صورتي كه درصد شكستگي مصالح روي الك نمره 4 بيشتر از 50 درصد باشد (به ازاي هر 5 درصد اضافه درصد شكستگي يك بار).</t>
  </si>
  <si>
    <t>پخش، آب پاشي، تسطيح و كوبيدن قشرهاي زير اساس به ضخامت تا 15 سانتي‌متر، با حداقل 100 درصد تراكم به روش آشو اصلاحي.</t>
  </si>
  <si>
    <t>پخش، آب پاشي، تسطيح و كوبيدن قشرهاي زير اساس به ضخامت تا 15 سانتي‌متر، با حداقل 95 درصد تراكم به روش آشو اصلاحي.</t>
  </si>
  <si>
    <t>پخش، آب پاشي، تسطيح و كوبيدن قشرهاي زير اساس به ضخامت بيشتر از 15 سانتي‌متر، با حداقل 100 درصد تراكم به روش آشو اصلاحي.</t>
  </si>
  <si>
    <t>پخش، آب پاشي، تسطيح و كوبيدن قشرهاي اساس به ضخامت تا 10 سانتي‌متر، با حداقل 100 درصد تراكم به روش آشو اصلاحي.</t>
  </si>
  <si>
    <t>پخش، آب پاشي، تسطيح و كوبيدن قشرهاي اساس به ضخامت بيشتر از 10 تا 15 سانتي‌متر، با حداقل 100 درصد تراكم به روش آشو اصلاحي.</t>
  </si>
  <si>
    <t>تهيه مصالح رودخانه‌اي (تونان) براي تحكيم بستر راه و محوطه، يا اجراي قشر تقويتي در زير سازي راه و محوطه.</t>
  </si>
  <si>
    <t>تهيه مصالح و اجراي اندود نفوذي (پريمكت) با قير محلول.</t>
  </si>
  <si>
    <t>تهيه مصالح و اجراي اندود سطحي (تك كت) با قير محلول.</t>
  </si>
  <si>
    <t>تهيه و اجراي بتن آسفالتي باسنگ شكسته ازمصالح رودخانه‌اي براي قشر اساس قيري، هر گاه دانه‌بندي مصالح صفر تا 3/57 ميلي‌متر باشد، به ازاي هر سانتي‌مترضخامت آسفالت.</t>
  </si>
  <si>
    <t>تهيه و اجراي بتن آسفالتي با سنگ شكسته از مصالح رودخانه‌اي براي قشر اساس قيري، هر گاه دانه بندي مصالح صفر تا 25 ميلي‌متر باشد، به ازاي هر سانتي‌متر ضخامت آسفالت.</t>
  </si>
  <si>
    <t>تهيه و اجراي بتن آسفالتي با سنگ شكسته از مصالح رودخانه‌اي براي قشر آستر (بيندر)، هر گاه دانه بندي مصالح صفر تا 25 ميلي‌متر باشد، به‌ازاي هر سانتي‌متر ضخامت آسفالت.</t>
  </si>
  <si>
    <t>تهيه و اجراي بتن آسفالتي با سنگ شكسته از مصالح رودخانه‌اي براي قشر آستر (بيندر)، هر گاه دانه بندي مصالح صفر تا 19 ميلي‌متر باشد، به‌ازاي هر سانتي‌متر ضخامت آسفالت.</t>
  </si>
  <si>
    <t>تهيه و اجراي بتن آسفالتي با سنگ شكسته ازمصالح رودخانه‌اي براي قشر رويه (توپكا)، هر گاه دانه بندي مصالح صفر تا 19 ميلي‌متر باشد، به ازاي هر سانتي‌متر ضخامت آسفالت.</t>
  </si>
  <si>
    <t>تهيه و اجراي بتن آسفالتي با سنگ شكسته از مصالح رودخانه‌اي براي قشر رويه (توپكا)، هر گاه دانه بندي مصالح صفر تا 1/52 ميلي‌متر باشد، به‌ازاي هر سانتي‌متر ضخامت آسفالت.</t>
  </si>
  <si>
    <t>اضافه بها نسبت به رديف‌هاي 270301 تا 270306، بابت اضافه هر 0/1 كيلوگرم قير مصرفي در هر متر مربع آسفالت، به ازاي هر سانتي‌متر ضخامت.</t>
  </si>
  <si>
    <t>كسربها به رديف‌هاي 270301 تا 270306، بابت كسر هر 0/1 كيلوگرم قير مصرفي در هر مترمربع آسفالت به ازاي هر سانتي‌متر ضخامت.</t>
  </si>
  <si>
    <t>اضافه بها به رديف‌هاي 270303 تا270306، در صورتي كه آسفالت در پياده‌روها و معابر با عرض كمتر از 2 متر اجرا شود.</t>
  </si>
  <si>
    <t>تهيه و اجراي آسفالت بام، به انضمام پخش و كوبيدن آن به ضخامت 2 سانتي‌متر.</t>
  </si>
  <si>
    <t>اضافه بها به رديف 270501 براي هر يك سانتي‌متر افزايش ضخامت.</t>
  </si>
  <si>
    <t>تهيه مصالح و پركردن درزهاي كف سازي‌هاي بتني با ماسه آسفالت.</t>
  </si>
  <si>
    <t>حمل آهن آلات و سيمان پاكتي، نسبت به مازاد بر30 كيلومتر تا فاصله 75 كيلومتر.</t>
  </si>
  <si>
    <t>تن -  کيلومتر</t>
  </si>
  <si>
    <t>حمل آهن آلات و سيمان پاكتي، نسبت به مازاد بر 75 كيلومتر تا فاصله 150 كيلومتر.</t>
  </si>
  <si>
    <t>حمل آهن آلات و سيمان پاكتي، نسبت به مازاد بر150 كيلومتر تا فاصله 300 كيلومتر.</t>
  </si>
  <si>
    <t>حمل آهن آلات و سيمان پاكتي، نسبت به مازاد بر 300 كيلومتر تا فاصله450 كيلومتر.</t>
  </si>
  <si>
    <t>حمل آهن آلات و سيمان پاكتي، نسبت به مازاد بر450 كيلومتر تا فاصله 750 كيلومتر.</t>
  </si>
  <si>
    <t>حمل آهن آلات و سيمان پاكتي، نسبت به مازاد بر750 كيلومتر.</t>
  </si>
  <si>
    <t>حمل آجر و مصالح سنگي نسبت به مازاد بر 30 كيلومتر تا فاصله 75 كيلومتر.</t>
  </si>
  <si>
    <t>حمل آجر و مصالح سنگي نسبت به مازاد بر 75 كيلومتر تا فاصله 150 كيلومتر.</t>
  </si>
  <si>
    <t>حمل آجر و مصالح سنگي نسبت به مازاد بر 150 كيلومتر تا فاصله 300 كيلومتر.</t>
  </si>
  <si>
    <t>حمل آجر و مصالح سنگي نسبت به مازاد بر 300 كيلومتر تا فاصله 450 كيلومتر.</t>
  </si>
  <si>
    <t>حمل آجر ومصالح سنگي نسبت به مازاد بر 450 كيلومتر تا فاصله 750 كيلومتر.</t>
  </si>
  <si>
    <t>حمل آجر و مصالح سنگي نسبت به مازاد بر750 كيلومتر.</t>
  </si>
  <si>
    <t>حمل آسفالت نسبت به مازاد30 كيلو متر تا فاصله 75 كيلومتر.</t>
  </si>
  <si>
    <t>حمل آب نسبت به مازاد 2 کیلومتر تا فاصله 50 کیلومتر.</t>
  </si>
  <si>
    <t>مترمکعب- کیلومتر</t>
  </si>
  <si>
    <t>حمل دریایی مصالح سنگی ؛ قیر؛ آهن آلات و سیمان پاکتی تا فاصله 10 مایل دریایی.</t>
  </si>
  <si>
    <t>تن - مایل دریایی</t>
  </si>
  <si>
    <t>حمل دریایی مصالح سنگی ؛ قیر؛ آهن آلات و سیمان پاکتی مازاد بر 10 مایل  تا فاصله 30 مایل دریایی.</t>
  </si>
  <si>
    <t>حمل دریایی مصالح سنگی ؛ قیر؛ آهن آلات و سیمان پاکتی مازاد بر 30 مایل  تا فاصله 60 مایل دریایی.</t>
  </si>
  <si>
    <t>حمل دریایی مصالح سنگی ؛ قیر؛ آهن آلات و سیمان پاکتی مازاد بر 60 مایل  تا فاصله 90 مایل دریایی.</t>
  </si>
  <si>
    <t>حمل دریایی مصالح سنگی ؛ قیر؛ آهن آلات و سیمان پاکتی مازاد بر 90 مایل  تا فاصله 150 مایل دریایی.</t>
  </si>
  <si>
    <t>تهیه آب برای شستشو و ضدعفونی کردن یا آزمون آب بندی واحدهای فرآیندی تصفیه خانه های آب و فاضلاب.</t>
  </si>
  <si>
    <t>تهیه پودر کلر برای شستشو و ضد عفونی کردن تصفیه خانه های آب و فاضلاب و مخازن ذخیره آب مطابق مشخصات فنی.</t>
  </si>
  <si>
    <t>عملیات شستشو و ضدعفونی کردن سطوح بتنی در تماس با آب اعم از کف ، دیوار، ستون و سقف .</t>
  </si>
  <si>
    <t>پمپاژ آب بین واحدهای فرآیندی تصفیه خانه های آب و فاضلاب برای شستشو و ضد عفونی کردن یا آزمون آب بندی .</t>
  </si>
  <si>
    <t>ماسه شسته.</t>
  </si>
  <si>
    <t>شن شسته.</t>
  </si>
  <si>
    <t>سنگ قلوه.</t>
  </si>
  <si>
    <t>مصالح زير اساس از مصالح رودخانه‌اي.</t>
  </si>
  <si>
    <t>مصالح اساس شكسته از مصالح رودخانه‌اي.</t>
  </si>
  <si>
    <t>سنگ لاشه.</t>
  </si>
  <si>
    <t>سنگ لاشه قواره شده موزاييكي.</t>
  </si>
  <si>
    <t>سنگ لاشه قواره شده موزاييكي درز شده.</t>
  </si>
  <si>
    <t>سنگ بادبر.</t>
  </si>
  <si>
    <t>انواع سنگ دوتيشه ريشه دار.</t>
  </si>
  <si>
    <t>انواع سنگ پلاك تراورتن سفيد به ‌ضخامت 2 سانتي‌متر.</t>
  </si>
  <si>
    <t>انواع سنگ پلاك تراورتن رنگي به ‌ضخامت 2 سانتي‌متر.</t>
  </si>
  <si>
    <t>انواع سنگ پلاك لاشتر به‌ضخامت 2 سانتي‌متر.</t>
  </si>
  <si>
    <t>انواع سنگ پلاك سياه به‌ضخامت 2 سانتي‌متر.</t>
  </si>
  <si>
    <t>انواع سنگ پلاك مرمريت به‌ضخامت 2 سانتي‌متر.</t>
  </si>
  <si>
    <t>انواع سنگ پلاك چيني به‌ضخامت 2 سانتي‌متر.</t>
  </si>
  <si>
    <t>انواع سنگ لاشه تراورتن به‌ضخامت 2 سانتي‌متر.</t>
  </si>
  <si>
    <t>انواع سنگ قرنيز به‌ضخامت 2 سانتي‌متر.</t>
  </si>
  <si>
    <t>سيمان پرتلند پاكتي.</t>
  </si>
  <si>
    <t>سيمان پرتلند فله.</t>
  </si>
  <si>
    <t>سيمان سفيد پاكتي.</t>
  </si>
  <si>
    <t>گچ پاكتي.</t>
  </si>
  <si>
    <t>گچ فله.</t>
  </si>
  <si>
    <t>كلوخه آهك زنده.</t>
  </si>
  <si>
    <t>آجر فشاري.</t>
  </si>
  <si>
    <t>انواع آجر ماشيني سوراخدار.</t>
  </si>
  <si>
    <t>انواع آجر قزاقي.</t>
  </si>
  <si>
    <t>انواع بلوك سفال (آجر تيغه).</t>
  </si>
  <si>
    <t>انواع بلوك سفال (سقفي).</t>
  </si>
  <si>
    <t>انواع بلوك سيماني ديواري.</t>
  </si>
  <si>
    <t>انواع بلوك سيماني سقفي.</t>
  </si>
  <si>
    <t>انواع تيرآهن.</t>
  </si>
  <si>
    <t>انواع تيرآهن بال پهن.</t>
  </si>
  <si>
    <t>انواع ناوداني.</t>
  </si>
  <si>
    <t>انواع نبشي.</t>
  </si>
  <si>
    <t>انواع سپري.</t>
  </si>
  <si>
    <t>انواع قوطي.</t>
  </si>
  <si>
    <t>انواع تسمه.</t>
  </si>
  <si>
    <t>انواع ورق سياه.</t>
  </si>
  <si>
    <t>انواع ميل گرد ساده.</t>
  </si>
  <si>
    <t>انواع ميل گردآجدار.</t>
  </si>
  <si>
    <t>انواع شبكه جوشي فولادي.</t>
  </si>
  <si>
    <t>انواع كابل فولادي (براي پيش تنيدگي).</t>
  </si>
  <si>
    <t>انواع پروفيل‌هاي توخالي، پروفيل Z و پروفيل چهارچوب.</t>
  </si>
  <si>
    <t>انواع ورق‌هاي گالوانيزه.</t>
  </si>
  <si>
    <t>انواع توري سيمي.</t>
  </si>
  <si>
    <t>انواع رابيتس.</t>
  </si>
  <si>
    <t>انواع پروفيل آلومينيومي.</t>
  </si>
  <si>
    <t>انواع ورق آلومينيومي.</t>
  </si>
  <si>
    <t>انواع در و پنجره آلومينيومي.</t>
  </si>
  <si>
    <t>انواع ورق‌هاي صاف آزبست سيمان.</t>
  </si>
  <si>
    <t>انواع ورق‌هاي موجدارآزبست سيمان.</t>
  </si>
  <si>
    <t>انواع موزاييك سيماني ساده.</t>
  </si>
  <si>
    <t>انواع موزاييك ايراني.</t>
  </si>
  <si>
    <t>انواع موزاييك فرنگي.</t>
  </si>
  <si>
    <t>انواع عايق‌هاي پيش ساخته رطوبتي.</t>
  </si>
  <si>
    <t>انواع كاشي ديواري.</t>
  </si>
  <si>
    <t>انواع كاشي كفي (سراميك).</t>
  </si>
  <si>
    <t>تراورس خارجي.</t>
  </si>
  <si>
    <t>تخته نراد خارجي.</t>
  </si>
  <si>
    <t>تراورس ايراني.</t>
  </si>
  <si>
    <t>تخته و الوار ايراني.</t>
  </si>
  <si>
    <t>انواع فيبر.</t>
  </si>
  <si>
    <t>انواع نئوپان.</t>
  </si>
  <si>
    <t>انواع تخته سه لايي ايراني.</t>
  </si>
  <si>
    <t>انواع قير.</t>
  </si>
  <si>
    <t>انواع درچوبي پيش ساخته.</t>
  </si>
  <si>
    <t>انواع چهارچوب چوبي.</t>
  </si>
  <si>
    <t>انواع كف پوش پلاستيكي.</t>
  </si>
  <si>
    <t>انواع كف پوش لاستيكي.</t>
  </si>
  <si>
    <t>انواع پوكه.</t>
  </si>
  <si>
    <t>انواع چتايي.</t>
  </si>
  <si>
    <t>انواع شيشه به‌ضخامت 3 ميلي‌متر و كمتر.</t>
  </si>
  <si>
    <t>انواع شيشه به‌ضخامت 4 ميلي‌متر.</t>
  </si>
  <si>
    <t>انواع شيشه به‌ضخامت 6 ميلي‌متر و بيشتر.</t>
  </si>
  <si>
    <t>انواع رنگ روغني.</t>
  </si>
  <si>
    <t>انواع رنگ پلاستيك.</t>
  </si>
  <si>
    <t>تامين و تجهيز محل سكونت كارمندان و افراد متخصص پيمانكار.</t>
  </si>
  <si>
    <t>مقطوع</t>
  </si>
  <si>
    <t>تامين و تجهيز محل سكونت كارگران پيمانكار.</t>
  </si>
  <si>
    <t>تامين و تجهيز ساختمان‌هاي اداري و دفاتر كار پيمانكار.</t>
  </si>
  <si>
    <t>تامين كمك هزينه يا تسهيلات لازم براي تهيه غذاي كارگران.</t>
  </si>
  <si>
    <t>تامين لباس كار، كفش و كلاه حفاظتي كارگران.</t>
  </si>
  <si>
    <t>تامين و تجهيز محل سكونت كاركنان كارفرما، مهندس مشاور و آزمايشگاه. (با رعايت بند 4-4)</t>
  </si>
  <si>
    <t>تامين و تجهيز ساختمان‌هاي اداري و دفاتر كار كارفرما، مهندس مشاور و آزمايشگاه. (با رعايت بند 4-4)</t>
  </si>
  <si>
    <t>تامين غذاي كارمندان مهندس مشاور، كارفرما و آزمايشگاه. (با رعايت بند 4-4)</t>
  </si>
  <si>
    <t>تجهيز دفاتر کارفرما، مهندس مشاور و آزمايشگاه به اينترنت پر سرعت. (با رعايت بند 4-4)</t>
  </si>
  <si>
    <t>تجهيز دفتر مرکزي کارفرما با تلوزيون‌هاي مدار بسته با قابليت انتقال تصوير در کارگاه به دفتر مرکزي کارفرما.</t>
  </si>
  <si>
    <t>هزينه برقراري نظام ايمني، بهداشت و محيط زيست (HSE) و حفاظت كار، براساس دستورالعمل‌هاي مندرج در اسناد پيمان.</t>
  </si>
  <si>
    <t>تامين ساختمان‌هاي پشتيباني و هزينه تجهيز انبارهاي سرپوشيده، آزمايشگاه پيمانكار و موارد مشابه.</t>
  </si>
  <si>
    <t>تامين و تجهيز انبار مواد منفجره.</t>
  </si>
  <si>
    <t>تامين و تجهيز ساختمان‌هاي عمومي، بجز ساختمان‌هاي مسکوني و اداري و دفاتر کار.</t>
  </si>
  <si>
    <t>محوطه سازي.</t>
  </si>
  <si>
    <t>احداث چاه آب عميق يا نيمه عميق.</t>
  </si>
  <si>
    <t>تامين آب كارگاه و شبكه آب رساني داخل كارگاه.</t>
  </si>
  <si>
    <t>تامين برق كارگاه و شبكه برق رساني داخل كارگاه.</t>
  </si>
  <si>
    <t>تامين سيستم‌هاي مخابراتي داخل كارگاه.</t>
  </si>
  <si>
    <t>تامين سيستم گازرساني در داخل كارگاه.</t>
  </si>
  <si>
    <t>تامين سيستم سوخت رساني كارگاه.</t>
  </si>
  <si>
    <t>تامين راه دسترسي.</t>
  </si>
  <si>
    <t>تامين راه‌هاي سرويس.</t>
  </si>
  <si>
    <t>تامين راه‌هاي ارتباطي.</t>
  </si>
  <si>
    <t>تامين اياب و ذهاب كارگاه.</t>
  </si>
  <si>
    <t>تامين پي و سكو براي نصب ماشين‌آلات و تجهيزات سيستم توليد مصالح، سيستم توليد بتن، كارخانه آسفالت، ژنراتورها و مانند آن‌ها.</t>
  </si>
  <si>
    <t>نصب ماشين‌آلات و تجهيزات و راه اندازي آن‌ها، يا تامين آن‌ها از راه خريد خدمت يا خريد مصالح.</t>
  </si>
  <si>
    <t>بارگيري، حمل و بار اندازي ماشين‌آلات و تجهيزات به كارگاه و برعكس.</t>
  </si>
  <si>
    <t>تهيه، نصب و برچيدن داربست فلزي براي انجام نماسازي خارج ساختمان در كارهاي رشته ابنيه، وقتي كه ارتفاع نماسازي بيش از 3.5 متر باشد.</t>
  </si>
  <si>
    <t>بارگيري، حمل، بار اندازي، مونتاژ و دمونتاژ ماشين‌آلات و لوازم حفاري محل شمع و بارت به كارگاه و برعكس.</t>
  </si>
  <si>
    <t>دمونتاژ، جابه‌جايي، مونتاژ و استقرار وسايل و ماشين‌آلات حفاري محل شمع و بارت از يك محل به محل ديگر در كارگاه.</t>
  </si>
  <si>
    <t>بارگيري، حمل و باراندازي وسايل و ماشين‌آلات شمع‌كوبي و سپركوبي به كارگاه و برعكس.</t>
  </si>
  <si>
    <t>تهيه لوازم و مصالح و كف‌سازي محل ساخت تيرهاي بتني پيش‌ساخته پل‌ها.</t>
  </si>
  <si>
    <t>بارگيري، حمل و باراندازي وسايل وقطعات تير مشبك فلزي (پوترلانسمان) به كارگاه و برعكس.</t>
  </si>
  <si>
    <t>جابه‌جايي و استقرار وسايل نصب تيرهاي بتني پيش‌ساخته از محل هر پل به محل پل ديگر.</t>
  </si>
  <si>
    <t>تامين علايم و وسايل ايمني براي اطراف ترانشه‌ها و ميله چاه‌ها و گودهايي كه در مسير عبور عابرين و يا وسايط نقليه قرار دارد، در كارهاي رشته شبكه توزيع آب، شبكه جمع‌آوري فاضلاب و آبرساني روستايي.</t>
  </si>
  <si>
    <t>تامين وسايل لازم و برقراري تردد عابرين پياده و وسايط نقليه از روي ترانشه‌ها و گودها در كارهاي رشته شبكه توزيع آب، شبكه جمع‌آوري فاضلاب و آبرساني روستايي.</t>
  </si>
  <si>
    <t>تامين مسير مناسب براي تردد عابرين پياده و وسايط نقليه در محل‌هايي كه به علت انجام عمليات، عبور از مسير موجود قطع مي‌شود، در كارهاي رشته شبكه توزيع آب، شبكه جمع‌آوري فاضلاب و آبرساني روستايي.</t>
  </si>
  <si>
    <t>تامين روشنايي و تهويه مناسب در داخل نقب در موارد لازم، در كارهاي رشته شبكه جمع‌آوري فاضلاب.</t>
  </si>
  <si>
    <t>حفظ يا انحراف موقت نهرهاي زراعي موجود در محدوده كارگاه.</t>
  </si>
  <si>
    <t>بيمه تجهيز كارگاه.</t>
  </si>
  <si>
    <t>برچيدن کارگاه.</t>
  </si>
  <si>
    <t xml:space="preserve">پی کنی ، کانال کنی با ماشین در زمین سخت تا عمق 2 متر(بلوک Yزون 1) </t>
  </si>
  <si>
    <t xml:space="preserve">پی کنی ، کانال کنی با ماشین در زمین سخت تا عمق 2 متر(بلوک Yزون 2) </t>
  </si>
  <si>
    <t xml:space="preserve">پی کنی ، کانال کنی با ماشین در زمین سخت تا عمق 2 متر(بلوک Yزون 3) </t>
  </si>
  <si>
    <t xml:space="preserve">پی کنی ، کانال کنی با ماشین در زمین سخت تا عمق 2 متر(بلوک Zزون 1) </t>
  </si>
  <si>
    <t xml:space="preserve">پی کنی ، کانال کنی با ماشین در زمین سخت تا عمق 2 متر(بلوک Zزون 2) </t>
  </si>
  <si>
    <t xml:space="preserve">پی کنی ، کانال کنی با ماشین در زمین سخت تا عمق 2 متر(بلوک Zزون 3) </t>
  </si>
  <si>
    <t>پی کنی ، کانال کنی با ماشین در زمین سخت تا عمق 2 متر(بلوک Zزون 3a)(بدون زیرزمین)</t>
  </si>
  <si>
    <t xml:space="preserve">پی کنی ، کانال کنی با ماشین در زمین سخت تا عمق 2 متر(بلوک Zزون 4) </t>
  </si>
  <si>
    <t xml:space="preserve">پی کنی ، کانال کنی با ماشین در زمین سخت تا عمق 2 متر(بلوک Zزون 5) </t>
  </si>
  <si>
    <t xml:space="preserve">پی کنی ساختمان های Y,Z </t>
  </si>
  <si>
    <t>حمل خاک از محل دفن زباله به کارگاه جهت پر کردن گلدانی ها</t>
  </si>
  <si>
    <t>قالب بتن مگر</t>
  </si>
  <si>
    <t>تیرهای بلوک Z در طبقه همکف</t>
  </si>
  <si>
    <t xml:space="preserve">بتن مگر ساختمانهای ZONE Z,Y </t>
  </si>
  <si>
    <t>فونداسیون  ZONE Z2</t>
  </si>
  <si>
    <t>فونداسیون  ZONE Z3</t>
  </si>
  <si>
    <t>فونداسیون  ZONE Z4</t>
  </si>
  <si>
    <t>فونداسیون  ZONE Z5</t>
  </si>
  <si>
    <t>فونداسیون  ZONE Y1</t>
  </si>
  <si>
    <t>فونداسیون  ZONE Y2</t>
  </si>
  <si>
    <t>فونداسیون  ZONE Y3</t>
  </si>
  <si>
    <t>گوم 80 سانتی برای چاههای فاضلاب در زون Z , Y</t>
  </si>
  <si>
    <t>2.2</t>
  </si>
  <si>
    <t>020303*</t>
  </si>
  <si>
    <t>فصل بیست و نهم:کارهای دستمزدی</t>
  </si>
  <si>
    <t>290402*</t>
  </si>
  <si>
    <t xml:space="preserve">هزینه آزمایش آب موجود در محل فونداسیون بلوکZ طبق دستور کار شماره 2 و فاکتور پیوست </t>
  </si>
  <si>
    <t>290403*</t>
  </si>
  <si>
    <t xml:space="preserve">هزینه 24عدد جوش کدول برای فونداسیون ها طبق فاکتور پیوست </t>
  </si>
  <si>
    <t>جمع فصل بیست و نهم بدون ضرايب قرارداد</t>
  </si>
  <si>
    <t>پیوست 1</t>
  </si>
  <si>
    <t>کارهای دستمزدی</t>
  </si>
  <si>
    <t>صورتجلسه شماره: 2</t>
  </si>
  <si>
    <t>ریگلاژ سطوح بتن ریزی شده</t>
  </si>
  <si>
    <t>بتن ستونهای طبقه زیرزمین  ZONE Z , ZONE Y</t>
  </si>
  <si>
    <t xml:space="preserve">سقف زیرزمین درZONE Z1 </t>
  </si>
  <si>
    <t>سقف زیرزمین درZONE Z2</t>
  </si>
  <si>
    <t>سقف زیرزمین درZONE Z3</t>
  </si>
  <si>
    <t>سقف زیرزمین درZONE Z4</t>
  </si>
  <si>
    <t>سقف زیرزمین درZONE Z5</t>
  </si>
  <si>
    <t>سقف زیرزمین درZONE Y1</t>
  </si>
  <si>
    <t>سقف زیرزمین درZONE Y2</t>
  </si>
  <si>
    <t>سقف زیرزمین درZONE Y3</t>
  </si>
  <si>
    <t xml:space="preserve">فونداسیون  ZONE Z1 </t>
  </si>
  <si>
    <t xml:space="preserve"> ستونهای طبقه اول  مرحله اول ZONE Z1</t>
  </si>
  <si>
    <t xml:space="preserve"> ستونهای طبقه اول  مرحله اول ZONE Z2</t>
  </si>
  <si>
    <t xml:space="preserve"> ستونهای طبقه اول  مرحله اول ZONE Z3</t>
  </si>
  <si>
    <t xml:space="preserve"> ستونهای طبقه اول  مرحله اول ZONE Z4</t>
  </si>
  <si>
    <t xml:space="preserve"> ستونهای طبقه اول  مرحله اول ZONE Z5</t>
  </si>
  <si>
    <t xml:space="preserve"> ستونهای طبقه اول  مرحله اول ZONE Y1</t>
  </si>
  <si>
    <t xml:space="preserve"> ستونهای طبقه اول  مرحله اول ZONE Y2</t>
  </si>
  <si>
    <t xml:space="preserve"> ستونهای طبقه اول  مرحله اول ZONE Y3</t>
  </si>
  <si>
    <t>111004*</t>
  </si>
  <si>
    <t xml:space="preserve"> ستونهای طبقه اول  مرحله دوم ZONE Z1</t>
  </si>
  <si>
    <t xml:space="preserve"> ستونهای طبقه اول  مرحله دوم ZONE Z2</t>
  </si>
  <si>
    <t xml:space="preserve"> ستونهای طبقه اول  مرحله دوم ZONE Z3</t>
  </si>
  <si>
    <t xml:space="preserve"> ستونهای طبقه اول  مرحله دوم ZONE Z4</t>
  </si>
  <si>
    <t xml:space="preserve"> ستونهای طبقه اول  مرحله دوم ZONE Z5</t>
  </si>
  <si>
    <t xml:space="preserve"> ستونهای طبقه اول  مرحله دوم ZONE Y1</t>
  </si>
  <si>
    <t xml:space="preserve"> ستونهای طبقه اول  مرحله دوم ZONE Y2</t>
  </si>
  <si>
    <t xml:space="preserve"> ستونهای طبقه اول  مرحله دوم ZONE Y3</t>
  </si>
  <si>
    <t>فصل پنجم- قالب بندی چوبی</t>
  </si>
  <si>
    <t>عملیات انجام گرفته درتیرهای ZONE Z1</t>
  </si>
  <si>
    <t>عملیات انجام گرفته درتیرهای ZONE Z2</t>
  </si>
  <si>
    <t>عملیات انجام گرفته درتیرهای ZONE Z3</t>
  </si>
  <si>
    <t>عملیات انجام گرفته درتیرهای ZONE Z4</t>
  </si>
  <si>
    <t>عملیات انجام گرفته درتیرهای ZONE Z5</t>
  </si>
  <si>
    <t>عملیات انجام گرفته درتیرهای ZONE Y1</t>
  </si>
  <si>
    <t>عملیات انجام گرفته درتیرهای ZONE Y2</t>
  </si>
  <si>
    <t>جمع فصل پنجم بدون ضرايب قرارداد</t>
  </si>
  <si>
    <t>تجهیزکارگاه</t>
  </si>
  <si>
    <t>برگ خلاصه مالی فصول - فهرست بهاي ابنیه 95</t>
  </si>
  <si>
    <t>لوله های پی وی سی و پلی پروپیلن</t>
  </si>
  <si>
    <t>لوله های پلی اتیلن</t>
  </si>
  <si>
    <t>شیرها</t>
  </si>
  <si>
    <t>رادیاتورها</t>
  </si>
  <si>
    <t>کانال هوا،دریچه هوا و دودکش</t>
  </si>
  <si>
    <t>ﻟﻮازم ﺑﻬﺪاﺷﺘﻲ، ﺷﻴﺮﻫﺎي بهداشتی</t>
  </si>
  <si>
    <t>ﺑﺴﺖ ﻫﺎ و ﺗﻜﻴﻪ ﮔﺎه ﻫﺎ</t>
  </si>
  <si>
    <t>كاركرد (ریال)</t>
  </si>
  <si>
    <t>این دوره</t>
  </si>
  <si>
    <t>030303</t>
  </si>
  <si>
    <t>030305</t>
  </si>
  <si>
    <t>030306</t>
  </si>
  <si>
    <t>ﻓﺼﻞ ﺳﻮم .ﻟﻮﻟﻪ ﻫﺎي  ﭘﻲ وي ﺳﻲ و ﭘﻠﻲﭘﺮوﭘﻴﻠﻦ .</t>
  </si>
  <si>
    <t>برگ خلاصه مالی فصول - فهرست بهاي مکانیکی 95</t>
  </si>
  <si>
    <t>لوله فولادي سياه درز دار، به ‌قطر نامي 15 (يك دوم اينچ).</t>
  </si>
  <si>
    <t>010103</t>
  </si>
  <si>
    <t>لوله فولادي سياه درزدار، به قطر نامي 25  (يك اينچ).</t>
  </si>
  <si>
    <t>010104</t>
  </si>
  <si>
    <t>لوله فولادي سياه درزدار، به قطر نامي 32  (يك و يك چهارم اينچ).</t>
  </si>
  <si>
    <t>010105</t>
  </si>
  <si>
    <t>لوله فولادي سياه درزدار، به قطر نامي 40  (يك و يك دوم اينچ).</t>
  </si>
  <si>
    <t>010106</t>
  </si>
  <si>
    <t>لوله فولادي سياه درزدار، به قطر نامي 50  (دو اينچ).</t>
  </si>
  <si>
    <t>010107</t>
  </si>
  <si>
    <t>لوله فولادي سياه درزدار، به قطر نامي 65  (دو و يك دوم اينچ).</t>
  </si>
  <si>
    <t>010108</t>
  </si>
  <si>
    <t>لوله فولادي سياه درزدار، به قطر  نامي 80  (سه اينچ).</t>
  </si>
  <si>
    <t>010109</t>
  </si>
  <si>
    <t>لوله فولادي سياه درزدار، به قطر نامي 100  (چهار اينچ).</t>
  </si>
  <si>
    <t>010110</t>
  </si>
  <si>
    <t>لوله فولادي سياه درزدار، به قطر نامي 125  (پنج اينچ).</t>
  </si>
  <si>
    <t>لوله فولادي سياه درزدار، به قطر نامي 150  (شش اينچ).</t>
  </si>
  <si>
    <t>لوله فولادي سياه درزدار، به قطر خارجي 219/1 ميليمتر.</t>
  </si>
  <si>
    <t>لوله فولادي سياه درزدار، به قطر خارجي 273 ميليمتر.</t>
  </si>
  <si>
    <t>لوله فولادي سياه درزدار، به قطر خارجي 323/9 ميليمتر.</t>
  </si>
  <si>
    <t>لوله فولادي سياه درزدار، به قطر خارجي 355/6 ميليمتر.</t>
  </si>
  <si>
    <t>010116</t>
  </si>
  <si>
    <t>لوله فولادي سياه درزدار، به قطر خارجي 406/4 ميليمتر.</t>
  </si>
  <si>
    <t>لوله فولادي سياه بدون درز، به قطر خارجي 21/3 و ضخامت جدار 2/6 ميليمتر.</t>
  </si>
  <si>
    <t>لوله فولادي سياه بدون درز، به قطر خارجي 26/9 و ضخامت جدار 2/6 ميليمتر.</t>
  </si>
  <si>
    <t>لوله فولادي سياه بدون درز، به قطر خارجي 33/7 و ضخامت جدار 3/2 ميليمتر.</t>
  </si>
  <si>
    <t>لوله فولادي سياه بدون درز، به قطر خارجي 42/4 و ضخامت جدار  3/2 ميليمتر.</t>
  </si>
  <si>
    <t>لوله فولادي سياه بدون درز، به قطر خارجي 48/3 و ضخامت جدار 3/2 ميليمتر.</t>
  </si>
  <si>
    <t>لوله فولادي سياه بدون درز، به قطر خارجي 60/3 و ضخامت جدار 3/6 ميليمتر.</t>
  </si>
  <si>
    <t>لوله فولادي سياه بدون درز، به قطر خارجي 76/1 و ضخامت جدار 3/6 ميليمتر.</t>
  </si>
  <si>
    <t>لوله فولادي سياه بدون درز، به قطر خارجي 88/9 و ضخامت جدار 4 ميليمتر.</t>
  </si>
  <si>
    <t>لوله فولادي سياه بدون درز، به قطر خارجي 114/3 و ضخامت جدار 5/4 ميليمتر.</t>
  </si>
  <si>
    <t>لوله فولادي سياه بدون درز، به قطر خارجي 139/7 و ضخامت جدار 5 ميليمتر.</t>
  </si>
  <si>
    <t>لوله فولادي سياه بدون درز، به قطر خارجي 168/3 و ضخامت جدار 5 ميليمتر.</t>
  </si>
  <si>
    <t>لوله فولادي سياه بدون درز، به قطر خارجي 219/1 و ضخامت جدار 3/6 ميليمتر.</t>
  </si>
  <si>
    <t>010213</t>
  </si>
  <si>
    <t>لوله فولادي سياه بدون درز، به قطر خارجي 273 و ضخامت جدار 3/6 ميليمتر.</t>
  </si>
  <si>
    <t>010214</t>
  </si>
  <si>
    <t>لوله فولادي سياه بدون درز، به قطر خارجي 323/9 و ضخامت جدار 1/7 ميليمتر.</t>
  </si>
  <si>
    <t>010215</t>
  </si>
  <si>
    <t>لوله فولادي سياه بدون درز، به قطر خارجي 355/6 و ضخامت جدار 8 ميليمتر.</t>
  </si>
  <si>
    <t>010216</t>
  </si>
  <si>
    <t>لوله فولادي سياه بدون درز، به قطر خارجي 406/4 و ضخامت جدار 8/8 ميليمتر.</t>
  </si>
  <si>
    <t>لوله فولادي گالوانيزه، به‌قطر نامي 15 (يك دوم اينچ).</t>
  </si>
  <si>
    <t>لوله فولادي گالوانيزه، به قطر نامي 20  (سه چهارم اينچ).</t>
  </si>
  <si>
    <t>010303</t>
  </si>
  <si>
    <t>لوله فولادي گالوانيزه، به قطر نامي 25  (يك اينچ).</t>
  </si>
  <si>
    <t>010304</t>
  </si>
  <si>
    <t>لوله فولادي گالوانيزه، به قطر نامي 32  (يك و يك چهارم اينچ).</t>
  </si>
  <si>
    <t>010305</t>
  </si>
  <si>
    <t>لوله فولادي گالوانيزه، به قطر نامي 40  (يك و يك دوم اينچ).</t>
  </si>
  <si>
    <t>010306</t>
  </si>
  <si>
    <t>لوله فولادي گالوانيزه، به قطر نامي 50  (دو اينچ).</t>
  </si>
  <si>
    <t>010307</t>
  </si>
  <si>
    <t>لوله فولادي گالوانيزه، به قطر نامي 65  (دو و يك دوم اينچ).</t>
  </si>
  <si>
    <t>010308</t>
  </si>
  <si>
    <t>لوله فولادي گالوانيزه، به قطر نامي 80  (سه اينچ).</t>
  </si>
  <si>
    <t>010309</t>
  </si>
  <si>
    <t>لوله فولادي گالوانيزه، به قطر نامي 100  (چهار اينچ).</t>
  </si>
  <si>
    <t>010310</t>
  </si>
  <si>
    <t>لوله فولادي گالوانيزه، به قطر نامي 125  (پنج اينچ).</t>
  </si>
  <si>
    <t>010311</t>
  </si>
  <si>
    <t>لوله فولادي گالوانيزه، به قطر نامي 150  (شش اينچ).</t>
  </si>
  <si>
    <t>كلكتور، از لوله فولادي سياه درزدار با كليه اتصالات نوع جوشي، مصالح لازم براي ساخـت، با يك دسـت رنـگ ضد زنگ.</t>
  </si>
  <si>
    <t>كلكتور، از لوله فولادي سياه بدون درز، با كليه اتصالات نوع جوشي، مصالح لازم براي ساخت، با يك دست رنگ ضد زنگ.</t>
  </si>
  <si>
    <t>گالوانيزاسيون کلکتورهاي ساخته شده از لوله فولادي سياه.</t>
  </si>
  <si>
    <t>کلکتور، ساخته شده از فيتينگ‌ها و اتصالي‌هاي دنده‌اي گالوانيزه.</t>
  </si>
  <si>
    <t>لوله چدني قيراندود با سركاسه، به قطر نامي 50.</t>
  </si>
  <si>
    <t>لوله چدني قيراندود با سركاسه، به قطرنامي 75.</t>
  </si>
  <si>
    <t>لوله چدني قيراندود با سركاسه، به قطر نامي 100.</t>
  </si>
  <si>
    <t>لوله چدني قيراندود با سركاسه، به قطر نامي 125.</t>
  </si>
  <si>
    <t>020105</t>
  </si>
  <si>
    <t>لوله چدني قيراندود با سركاسه، به قطر نامي 150.</t>
  </si>
  <si>
    <t>020106</t>
  </si>
  <si>
    <t>لوله چدني قيراندود با سركاسه، به قطر نامي 200.</t>
  </si>
  <si>
    <t>لوله پي.وي.سي سخـت، به قطر خارجي 40 ميليمتر و فشار كار 6 بار.</t>
  </si>
  <si>
    <t>030302</t>
  </si>
  <si>
    <t>لوله پي.وي.سي سخـت، به قطر خارجي 50 ميليمتر و فشار كار 6 بار.</t>
  </si>
  <si>
    <t>لوله پي.وي.سي سخـت، به قطر خارجي 63 ميليمتر و فشار كار 6 بار.</t>
  </si>
  <si>
    <t>030304</t>
  </si>
  <si>
    <t>لوله پي.وي.سي سخـت، به قطر خارجي 75 ميليمتر و فشار كار 6 بار.</t>
  </si>
  <si>
    <t>لوله پي.وي.سي سخـت، به قطر خارجي 90 ميليمتر و فشار كار 6 بار.</t>
  </si>
  <si>
    <t>لوله پي.وي.سي سخـت، به قطر خارجي 110 ميليمتر و فشار كار 6 بار.</t>
  </si>
  <si>
    <t>030307</t>
  </si>
  <si>
    <t>لوله پي.وي.سي سخـت، به قطر خارجي 125 ميليمتر و فشار كار 6 بار.</t>
  </si>
  <si>
    <t>030308</t>
  </si>
  <si>
    <t>لوله پي.وي.سي سخـت، به قطر خارجي 140 ميليمتر و فشار كار 6 بار.</t>
  </si>
  <si>
    <t>030309</t>
  </si>
  <si>
    <t>لوله پي.وي.سي سخـت، به قطر خارجي 160 ميليمتر و فشار كار 6 بار.</t>
  </si>
  <si>
    <t>030310</t>
  </si>
  <si>
    <t>لوله پي.وي.سي سخـت، به قطر خارجي 180 ميليمتر و فشار كار 6 بار.</t>
  </si>
  <si>
    <t>030311</t>
  </si>
  <si>
    <t>لوله پي.وي.سي سخـت، به قطر خارجي 200 ميليمتر و فشار كار 6 بار.</t>
  </si>
  <si>
    <t>030312</t>
  </si>
  <si>
    <t>لوله پي.وي.سي سخـت، به قطر خارجي 250 ميليمتر و فشار كار 6 بار.</t>
  </si>
  <si>
    <t>لوله پي.وي.سي سخـت، به قطر خارجي 75 ميليمتر و فشار كار 4 بار.</t>
  </si>
  <si>
    <t>لوله پي.وي.سي سخـت، به قطر خارجي 90 ميليمتر و فشار كار 4 بار.</t>
  </si>
  <si>
    <t>لوله پي.وي.سي سخـت، به قطر خارجي 110 ميليمتر و فشار كار 4 بار.</t>
  </si>
  <si>
    <t>لوله پي.وي.سي سخـت، به قطر خارجي 125 ميليمتر و فشار كار 4 بار.</t>
  </si>
  <si>
    <t>030405</t>
  </si>
  <si>
    <t>لوله پي.وي.سي سخـت، به قطر خارجي 140 ميليمتر و فشار كار 4 بار.</t>
  </si>
  <si>
    <t>030406</t>
  </si>
  <si>
    <t>لوله پي.وي.سي سخـت، به قطر خارجي 160 ميليمتر و فشار كار 4 بار.</t>
  </si>
  <si>
    <t>030407</t>
  </si>
  <si>
    <t>لوله پي.وي.سي سخـت، به قطر خارجي 180 ميليمتر و فشار كار 4 بار.</t>
  </si>
  <si>
    <t>030408</t>
  </si>
  <si>
    <t>لوله پي.وي.سي سخـت، به قطر خارجي 200 ميليمتر و فشار كار 4 بار.</t>
  </si>
  <si>
    <t>030409</t>
  </si>
  <si>
    <t>لوله پي.وي.سي سخـت، به قطر خارجي 250 ميليمتر و فشار كار 4 بار.</t>
  </si>
  <si>
    <t>لوله پلي‌پروپيلن، به قطر نامي 40.</t>
  </si>
  <si>
    <t>لوله پلي‌پروپيلن، به قطر نامي 50.</t>
  </si>
  <si>
    <t>لوله پلي‌پروپيلن، به قطر نامي 70.</t>
  </si>
  <si>
    <t>لوله پلي‌پروپيلن، به قطر نامي 100.</t>
  </si>
  <si>
    <t>030505</t>
  </si>
  <si>
    <t>لوله پلي‌پروپيلن، به قطر نامي 125.</t>
  </si>
  <si>
    <t>030506</t>
  </si>
  <si>
    <t>لوله پلي‌پروپيلن، به قطر نامي 150.</t>
  </si>
  <si>
    <t>لوله پلي‌اتيلن مشبك يك لايه به قطر خارجي 16 ميليمتر.</t>
  </si>
  <si>
    <t>لوله پلي‌اتيلن مشبك يك لايه به قطر خارجي 20 ميليمتر.</t>
  </si>
  <si>
    <t>لوله پلي‌اتيلن مشبك يك لايه به قطر خارجي 25 ميليمتر.</t>
  </si>
  <si>
    <t>لوله پلي‌اتيلن مشبك يك لايه به قطر خارجي 32 ميليمتر.</t>
  </si>
  <si>
    <t>لوله پلي‌اتيلن مشبك پنج لايه به قطر خارجي 16 ميليمتر.</t>
  </si>
  <si>
    <t>لوله پلي‌اتيلن مشبك پنج لايه به قطر خارجي 20 ميليمتر.</t>
  </si>
  <si>
    <t>لوله پلي‌اتيلن مشبك پنج لايه به قطر خارجي 25 ميليمتر.</t>
  </si>
  <si>
    <t>لوله پلي‌اتيلن مشبك پنج لايه به قطر خارجي 32 ميليمتر.</t>
  </si>
  <si>
    <t>لوله پلي‌اتيلن دماي بالا‏، پنج لايه به قطر خارجي 16 ميليمتر.</t>
  </si>
  <si>
    <t>لوله پلي‌اتيلن دماي بالا‏، پنج لايه به قطر خارجي 20 ميليمتر.</t>
  </si>
  <si>
    <t>040403</t>
  </si>
  <si>
    <t>لوله پلي‌اتيلن دماي بالا‏، پنج لايه به قطر خارجي 25 ميليمتر.</t>
  </si>
  <si>
    <t>040404</t>
  </si>
  <si>
    <t>لوله پلي‌اتيلن دماي بالا‏، پنج لايه به قطر خارجي 32 ميليمتر.</t>
  </si>
  <si>
    <t>لوله مسي بدون درز، به قطر خارجي 12 و حداقل ضخامـت جدار يك ميليمتر.</t>
  </si>
  <si>
    <t>لوله مسي بدون درز، به قطر خارجي 15 و حداقل ضخامـت جدار يك ميليمتر.</t>
  </si>
  <si>
    <t>060103</t>
  </si>
  <si>
    <t>لوله مسي بدون درز، به قطر خارجي 18 و حداقل ضخامـت جدار يك ميليمتر.</t>
  </si>
  <si>
    <t>060104</t>
  </si>
  <si>
    <t>لوله مسي بدون درز، به قطر خارجي 22 و حداقل ضخامـت جدار يك ميليمتر.</t>
  </si>
  <si>
    <t>060105</t>
  </si>
  <si>
    <t>لوله مسي بدون درز، به قطر خارجي 28 و حداقل ضخامـت جدار 5/1 ميليمتر.</t>
  </si>
  <si>
    <t>060106</t>
  </si>
  <si>
    <t>لوله مسي بدون درز، به قطر خارجي 35 وحداقل ضخامـت جدار 5/1 ميليمتر.</t>
  </si>
  <si>
    <t>060107</t>
  </si>
  <si>
    <t>لوله مسي بدون درز، به قطر خارجي 42 و حداقل ضخامـت جدار 5/1 ميليمتر.</t>
  </si>
  <si>
    <t>060108</t>
  </si>
  <si>
    <t>لوله مسي بدون درز، به قطر خارجي 54 و حداقل ضخامـت جدار 2 ميليمتر.</t>
  </si>
  <si>
    <t>060109</t>
  </si>
  <si>
    <t>لوله مسي بدون درز، به قطر خارجي 64 و حداقل ضخامـت جدار 2 ميليمتر.</t>
  </si>
  <si>
    <t>060110</t>
  </si>
  <si>
    <t>لوله مسي بدون درز، به قطر خارجي 1/76 و حداقل ضخامـت جدار 2 ميليمتر.</t>
  </si>
  <si>
    <t>شيرفلكه كشويي دنده اي، به قطر نامي 15  (يك دوم اينچ).</t>
  </si>
  <si>
    <t>شيرفلكه كشويي دنده اي، به قطر نامي 20  (سه چهارم اينچ).</t>
  </si>
  <si>
    <t>شيرفلكه كشويي دنده اي، به قطر نامي 25  (يك اينچ).</t>
  </si>
  <si>
    <t>070104</t>
  </si>
  <si>
    <t>شيرفلكه كشويي دنده اي، به قطر نامي 32  (يك و يك چهارم اينچ).</t>
  </si>
  <si>
    <t>070105</t>
  </si>
  <si>
    <t>شيرفلكه كشويي دنده اي، به قطر نامي 40  (يك و يك دوم اينچ).</t>
  </si>
  <si>
    <t>070106</t>
  </si>
  <si>
    <t>شيرفلكه كشويي دنده اي، به قطر نامي 50  (دو اينچ).</t>
  </si>
  <si>
    <t>070107</t>
  </si>
  <si>
    <t>شيرفلكه كشويي دنده اي، به قطر نامي 65  (دو و يك دوم اينچ).</t>
  </si>
  <si>
    <t>070108</t>
  </si>
  <si>
    <t>شيرفلكه كشويي دنده اي، به قطر نامي 80  (سه اينچ).</t>
  </si>
  <si>
    <t>070109</t>
  </si>
  <si>
    <t>شيرفلكه كشويي دنده اي، به قطر نامي 100  (چهار اينچ).</t>
  </si>
  <si>
    <t>شيرفلكه كـف فلزي دنده اي، به قطر نامي 15  (يك دوم اينچ).</t>
  </si>
  <si>
    <t>شيرفلكه كـف فلزي دنده اي، به قطر نامي 20  (سه چهارم اينچ).</t>
  </si>
  <si>
    <t>شيرفلكه كـف فلزي دنده اي، به قطر نامي 25  (يك اينچ).</t>
  </si>
  <si>
    <t>شيرفلكه كـف فلزي دنده اي، به قطر نامي 32  (يك و يك چهارم اينچ).</t>
  </si>
  <si>
    <t>شيرفلكه كـف فلزي دنده اي، به قطر نامي 40  (يك و يك دوم اينچ).</t>
  </si>
  <si>
    <t>شيرفلكه كـف فلزي دنده اي، به قطر نامي 50  (دو اينچ).</t>
  </si>
  <si>
    <t>070207</t>
  </si>
  <si>
    <t>شيرفلكه كـف فلزي دنده اي، به قطر نامي 65  (دو و يك دوم اينچ).</t>
  </si>
  <si>
    <t>شيرفلكه كـف فلزي دنده اي، به قطر نامي 80  (سه اينچ).</t>
  </si>
  <si>
    <t>شيرفلكه كـف فلزي دنده اي، به قطر نامي 100  (چهار اينچ).</t>
  </si>
  <si>
    <t>شير يكطرفه دنده اي، به قطر نامي 15  (يك دوم اينچ).</t>
  </si>
  <si>
    <t>شير يكطرفه دنده اي، به قطر نامي 20  (سه چهارم اينچ).</t>
  </si>
  <si>
    <t>070303</t>
  </si>
  <si>
    <t>شير يكطرفه دنده اي، به قطر نامي 25  (يك اينچ).</t>
  </si>
  <si>
    <t>070304</t>
  </si>
  <si>
    <t>شير يكطرفه دنده اي، به قطرنامي 32  (يك و يك چهارم اينچ).</t>
  </si>
  <si>
    <t>070305</t>
  </si>
  <si>
    <t>شير يكطرفه دنده اي، به قطر نامي 40  (يك و يك دوم اينچ).</t>
  </si>
  <si>
    <t>070306</t>
  </si>
  <si>
    <t>شير يكطرفه دنده اي، به قطر نامي 50  (دو اينچ).</t>
  </si>
  <si>
    <t>070307</t>
  </si>
  <si>
    <t>شير يكطرفه دنده اي، به قطر نامي 65  (دو و يك دوم اينچ).</t>
  </si>
  <si>
    <t>070308</t>
  </si>
  <si>
    <t>شير يكطرفه دنده اي، به قطر نامي 80  (سه اينچ).</t>
  </si>
  <si>
    <t>070309</t>
  </si>
  <si>
    <t>شير يكطرفه دنده اي، به قطر نامي 100  (چهار اينچ).</t>
  </si>
  <si>
    <t>شير فلكه كشويي چدني فلنج دار، به قطر نامي 50  (دو اينچ).</t>
  </si>
  <si>
    <t>070502</t>
  </si>
  <si>
    <t>شيرفلكه كشويي چدني فلنج دار، به قطر نامي 65  (دو و يك دوم اينچ).</t>
  </si>
  <si>
    <t>070503</t>
  </si>
  <si>
    <t>شيرفلكه كشويي چدني فلنج دار، به قطر نامي 80  (سه اينچ).</t>
  </si>
  <si>
    <t>070504</t>
  </si>
  <si>
    <t>شيرفلكه كشويي چدني فلنج دار، به قطر نامي 100  (چهار اينچ).</t>
  </si>
  <si>
    <t>070505</t>
  </si>
  <si>
    <t>شيرفلكه كشويي چدني فلنج دار، به قطر نامي 125  (پنج اينچ).</t>
  </si>
  <si>
    <t>070506</t>
  </si>
  <si>
    <t>شيرفلكه كشويي چدني فلنج دار، به قطر نامي 150  (شش اينچ).</t>
  </si>
  <si>
    <t>070507</t>
  </si>
  <si>
    <t>شيرفلكه كشويي چدني فلنج دار، به قطر نامي 200  (هشت اينچ).</t>
  </si>
  <si>
    <t>070508</t>
  </si>
  <si>
    <t>شيرفلكه كشويي چدني فلنج دار، به قطر نامي 250  (ده اينچ).</t>
  </si>
  <si>
    <t>070509</t>
  </si>
  <si>
    <t>شيرفلكه كشويي چدني فلنج دار، به قطر نامي 300  (دوازده اينچ).</t>
  </si>
  <si>
    <t>070510</t>
  </si>
  <si>
    <t>شيرفلكه كشويي چدني فلنج دار، به قطر نامي 350  (چهارده اينچ).</t>
  </si>
  <si>
    <t>070511</t>
  </si>
  <si>
    <t>شيرفلكه كشويي چدني فلنج دار، به قطر نامي 400  (شانزده اينچ).</t>
  </si>
  <si>
    <t>شيرفلكه كـف فلزي چدني فلنج دار، به قطر نامي 50  (دو اينچ).</t>
  </si>
  <si>
    <t>شيرفلكه كـف فلزي چدني فلنج دار، به قطرنامي 65  (دو و يك دوم اينچ).</t>
  </si>
  <si>
    <t>شيرفلكه كـف فلزي چدني فلنج دار، به قطر نامي 80  (سه اينچ).</t>
  </si>
  <si>
    <t>شيرفلكه كـف فلزي چدني فلنج دار، به قطر نامي 100  (چهار اينچ).</t>
  </si>
  <si>
    <t>شيرفلكه كـف فلزي چدني فلنج دار، به قطر نامي 125  (پنج اينچ).</t>
  </si>
  <si>
    <t>شيرفلكه كـف فلزي چدني فلنج دار، به قطر نامي 150  (شش اينچ).</t>
  </si>
  <si>
    <t>شيرفلكه كـف فلزي چدني فلنج دار، به قطر نامي 200  (هشت اينچ).</t>
  </si>
  <si>
    <t>070608</t>
  </si>
  <si>
    <t>شيرفلكه كـف فلزي چدني فلنج دار، به قطر نامي 250  (ده اينچ).</t>
  </si>
  <si>
    <t>070609</t>
  </si>
  <si>
    <t>شيرفلكه كـف فلزي چدني فلنج دار، به قطر نامي 300  (دوازده اينچ).</t>
  </si>
  <si>
    <t>070610</t>
  </si>
  <si>
    <t>شيرفلكه كـف فلزي چدني فلنج دار، به قطر نامي 350  (چهارده اينچ).</t>
  </si>
  <si>
    <t>070611</t>
  </si>
  <si>
    <t>شيرفلكه كـف فلزي چدني فلنج دار، به قطر نامي 400  (شانزده اينچ).</t>
  </si>
  <si>
    <t>شير يكطرفه چدني فلنج دار، به قطر نامي 50  (دو اينچ).</t>
  </si>
  <si>
    <t>شير يكطرفه چدني فلنج دار، به قطر نامي 65  (دو و يك دوم اينچ).</t>
  </si>
  <si>
    <t>شير يكطرفه چدني فلنج دار، به قطر نامي 80  (سه اينچ).</t>
  </si>
  <si>
    <t>شير يكطرفه چدني فلنج دار، به قطر نامي 100  (چهار اينچ).</t>
  </si>
  <si>
    <t>شير يكطرفه چدني فلنج دار، به قطر نامي 125  (پنج اينچ)..</t>
  </si>
  <si>
    <t>070706</t>
  </si>
  <si>
    <t>شير يكطرفه چدني فلنج دار، به قطر نامي 150  (شش اينچ).</t>
  </si>
  <si>
    <t>070707</t>
  </si>
  <si>
    <t>شير يكطرفه چدني فلنج دار، به قطر نامي 200  (هشت اينچ).</t>
  </si>
  <si>
    <t>070708</t>
  </si>
  <si>
    <t>شير يكطرفه چدني فلنج دار، به قطر نامي 250  (ده اينچ).</t>
  </si>
  <si>
    <t>070709</t>
  </si>
  <si>
    <t>شير يكطرفه چدني فلنج دار، به قطر نامي 300  (دوازده اينچ).</t>
  </si>
  <si>
    <t>070710</t>
  </si>
  <si>
    <t>شير يكطرفه چدني فلنج دار، به قطر نامي 350  (چهارده اينچ).</t>
  </si>
  <si>
    <t>070711</t>
  </si>
  <si>
    <t>شير يكطرفه چدني فلنج دار، به قطر نامي 400  (شانزده اينچ).</t>
  </si>
  <si>
    <t>070801</t>
  </si>
  <si>
    <t>شير دوبل رگلاژ براي رادياتور، به قطر نامي 15  (يك دوم اينچ).</t>
  </si>
  <si>
    <t>070802</t>
  </si>
  <si>
    <t>شير دوبل رگلاژ براي رادياتور، به قطرنامي 20  (سه چهارم اينچ).</t>
  </si>
  <si>
    <t>070803</t>
  </si>
  <si>
    <t>شير ساده رادياتور، به قطر نامي 15  (يك دوم اينچ).</t>
  </si>
  <si>
    <t>070804</t>
  </si>
  <si>
    <t>شير ساده رادياتور، به قطرنامي 20  (سه چهارم اينچ).</t>
  </si>
  <si>
    <t>070805</t>
  </si>
  <si>
    <t>زانوي رادياتور، به قطرنامي 15  (يك دوم اينچ).</t>
  </si>
  <si>
    <t>070806</t>
  </si>
  <si>
    <t>زانوي رادياتور، به قطرنامي 20  (سه چهارم اينچ).</t>
  </si>
  <si>
    <t>070807</t>
  </si>
  <si>
    <t>زانو قفلي رادياتور، به قطرنامي 15  (يك دوم اينچ).</t>
  </si>
  <si>
    <t>070808</t>
  </si>
  <si>
    <t>زانو قفلي رادياتور، به قطرنامي 20  (سه چهارم اينچ).</t>
  </si>
  <si>
    <t>070809</t>
  </si>
  <si>
    <t>شير هواگيري رادياتور، به قطرنامي 4  (يك هشتم اينچ).</t>
  </si>
  <si>
    <t>070810</t>
  </si>
  <si>
    <t>شير هواگيري رادياتور، به قطرنامي 10  (سه هشتم اينچ).</t>
  </si>
  <si>
    <t>070901</t>
  </si>
  <si>
    <t>شير فلکه کشويي فولادي فلنج‌دار، به قطر نامي 50  (دو اينچ).</t>
  </si>
  <si>
    <t>070902</t>
  </si>
  <si>
    <t>شير فلکه کشويي فولادي فلنج‌دار، به قطر نامي 65  (دو و يك دوم اينچ).</t>
  </si>
  <si>
    <t>070903</t>
  </si>
  <si>
    <t>شير فلکه کشويي فولادي فلنج‌دار، به قطر نامي 80  (سه اينچ).</t>
  </si>
  <si>
    <t>070904</t>
  </si>
  <si>
    <t>شير فلکه کشويي فولادي فلنج‌دار، به قطر نامي 100  (چهار اينچ).</t>
  </si>
  <si>
    <t>070905</t>
  </si>
  <si>
    <t>شير فلکه کشويي فولادي فلنج‌دار، به قطر نامي 125  (پنج اينچ).</t>
  </si>
  <si>
    <t>070906</t>
  </si>
  <si>
    <t>شير فلکه کشويي فولادي فلنج‌دار، به قطر نامي 150  (شش اينچ).</t>
  </si>
  <si>
    <t>070907</t>
  </si>
  <si>
    <t>شير فلکه کشويي فولادي فلنج‌دار، به قطر نامي 200  (هشت اينچ).</t>
  </si>
  <si>
    <t>070908</t>
  </si>
  <si>
    <t>شير فلکه کشويي فولادي فلنج‌دار، به قطر نامي 250  (ده اينچ).</t>
  </si>
  <si>
    <t>070909</t>
  </si>
  <si>
    <t>شير فلکه کشويي فولادي فلنج‌دار، به قطر نامي 300  (دوازده اينچ).</t>
  </si>
  <si>
    <t>070910</t>
  </si>
  <si>
    <t>شير فلکه کشويي فولادي فلنج‌دار، به قطر نامي 350  (چهارده اينچ).</t>
  </si>
  <si>
    <t>070911</t>
  </si>
  <si>
    <t>شير فلکه کشويي فولادي فلنج‌دار، به قطر نامي 400  (شانزده اينچ).</t>
  </si>
  <si>
    <t>071001</t>
  </si>
  <si>
    <t>شير فلکه کف فلزي فولادي فلنج‌دار، به قطر نامي 50  (دو اينچ).</t>
  </si>
  <si>
    <t>071002</t>
  </si>
  <si>
    <t>شير فلکه کف فلزي فولادي فلنج‌دار، به قطر نامي 65  (دو و يك دوم اينچ).</t>
  </si>
  <si>
    <t>071003</t>
  </si>
  <si>
    <t>شير فلکه کف فلزي فولادي فلنج‌دار، به قطر نامي 80  (سه اينچ).</t>
  </si>
  <si>
    <t>071004</t>
  </si>
  <si>
    <t>شير فلکه کف فلزي فولادي فلنج‌دار، به قطر نامي 100  (چهار اينچ).</t>
  </si>
  <si>
    <t>071005</t>
  </si>
  <si>
    <t>شير فلکه کف فلزي فولادي فلنج‌دار، به قطر نامي 125  (پنج اينچ).</t>
  </si>
  <si>
    <t>071006</t>
  </si>
  <si>
    <t>شير فلکه کف فلزي فولادي فلنج‌دار، به قطر نامي 150  (شش اينچ).</t>
  </si>
  <si>
    <t>071007</t>
  </si>
  <si>
    <t>شير فلکه کف فلزي فولادي فلنج‌دار، به قطر نامي 200  (هشت اينچ).</t>
  </si>
  <si>
    <t>071008</t>
  </si>
  <si>
    <t>شير فلکه کف فلزي فولادي فلنج‌دار، به قطر نامي 250  (ده اينچ).</t>
  </si>
  <si>
    <t>071009</t>
  </si>
  <si>
    <t>شير فلکه کف فلزي فولادي فلنج‌دار، به قطر نامي 300  (دوازده اينچ).</t>
  </si>
  <si>
    <t>071010</t>
  </si>
  <si>
    <t>شير فلکه کف فلزي فولادي فلنج‌دار، به قطر نامي 350  (چهارده اينچ).</t>
  </si>
  <si>
    <t>071011</t>
  </si>
  <si>
    <t>شير فلکه کف فلزي فولادي فلنج‌دار، به قطر نامي 400  (شانزده اينچ).</t>
  </si>
  <si>
    <t>071101</t>
  </si>
  <si>
    <t>شير يک‌طرفه فولادي فلنج‌دار، به قطر نامي 50  (دو اينچ).</t>
  </si>
  <si>
    <t>071102</t>
  </si>
  <si>
    <t>شير يک‌طرفه فولادي فلنج‌دار، به قطر نامي 65  (دو و يك دوم اينچ).</t>
  </si>
  <si>
    <t>071103</t>
  </si>
  <si>
    <t>شير يک‌طرفه فولادي فلنج‌دار، به قطر نامي 80  (سه اينچ).</t>
  </si>
  <si>
    <t>071104</t>
  </si>
  <si>
    <t>شير يک‌طرفه فولادي فلنج‌دار، به قطر نامي 100  (چهار اينچ).</t>
  </si>
  <si>
    <t>071105</t>
  </si>
  <si>
    <t>شير يک‌طرفه فولادي فلنج‌دار، به قطر نامي 125  (پنج اينچ).</t>
  </si>
  <si>
    <t>071106</t>
  </si>
  <si>
    <t>شير يک‌طرفه فولادي فلنج‌دار، به قطر نامي 150  (شش اينچ).</t>
  </si>
  <si>
    <t>071107</t>
  </si>
  <si>
    <t>شير يک‌طرفه فولادي فلنج‌دار، به قطر نامي 200  (هشت اينچ).</t>
  </si>
  <si>
    <t>071108</t>
  </si>
  <si>
    <t>شير يک‌طرفه فولادي فلنج‌دار، به قطر نامي 250  (ده اينچ).</t>
  </si>
  <si>
    <t>071109</t>
  </si>
  <si>
    <t>شير يک‌طرفه فولادي فلنج‌دار، به قطر نامي 300  (دوازده اينچ).</t>
  </si>
  <si>
    <t>071110</t>
  </si>
  <si>
    <t>شير يک‌طرفه فولادي فلنج‌دار، به قطر نامي 350  (چهارده اينچ).</t>
  </si>
  <si>
    <t>071111</t>
  </si>
  <si>
    <t>شير يک‌طرفه فولادي فلنج‌دار، به قطر نامي 400  (شانزده اينچ).</t>
  </si>
  <si>
    <t>071201</t>
  </si>
  <si>
    <t>شير پروانه‌اي چدني بدون فلنج، به قطر نامي 50  (دو اينچ).</t>
  </si>
  <si>
    <t>071202</t>
  </si>
  <si>
    <t>شير پروانه‌اي چدني بدون فلنج، به قطر نامي 65  (دو و يك دوم اينچ).</t>
  </si>
  <si>
    <t>071203</t>
  </si>
  <si>
    <t>شير پروانه‌اي چدني بدون فلنج، به قطر نامي 80  (سه اينچ).</t>
  </si>
  <si>
    <t>071204</t>
  </si>
  <si>
    <t>شير پروانه‌اي چدني بدون فلنج، به قطر نامي 100  (چهار اينچ).</t>
  </si>
  <si>
    <t>071205</t>
  </si>
  <si>
    <t>شير پروانه‌اي چدني بدون فلنج، به قطر نامي 125  (پنج اينچ).</t>
  </si>
  <si>
    <t>071206</t>
  </si>
  <si>
    <t>شير پروانه‌اي چدني بدون فلنج، به قطر نامي 150  (شش اينچ).</t>
  </si>
  <si>
    <t>071207</t>
  </si>
  <si>
    <t>شير پروانه‌اي چدني بدون فلنج، به قطر نامي 200  (هشت اينچ).</t>
  </si>
  <si>
    <t>071208</t>
  </si>
  <si>
    <t>شير پروانه‌اي چدني بدون فلنج، به قطر نامي 250  (ده اينچ).</t>
  </si>
  <si>
    <t>071209</t>
  </si>
  <si>
    <t>شير پروانه‌اي چدني بدون فلنج، به قطر نامي 300  (دوازده اينچ).</t>
  </si>
  <si>
    <t>071210</t>
  </si>
  <si>
    <t>شير پروانه‌اي چدني بدون فلنج، به قطر نامي 350  (چهارده اينچ).</t>
  </si>
  <si>
    <t>071211</t>
  </si>
  <si>
    <t>شير پروانه‌اي چدني بدون فلنج، به قطر نامي 400  (شانزده اينچ).</t>
  </si>
  <si>
    <t>071301</t>
  </si>
  <si>
    <t>شير پروانه‌اي فولادي بدون فلنج، به قطر نامي 50  (دو اينچ).</t>
  </si>
  <si>
    <t>071302</t>
  </si>
  <si>
    <t>شير پروانه‌اي فولادي بدون فلنج، به قطر نامي 65  (دو و يك دوم اينچ).</t>
  </si>
  <si>
    <t>071303</t>
  </si>
  <si>
    <t>شير پروانه‌اي فولادي بدون فلنج، به قطر نامي 80  (سه اينچ).</t>
  </si>
  <si>
    <t>071304</t>
  </si>
  <si>
    <t>شير پروانه‌اي فولادي بدون فلنج، به قطر نامي 100  (چهار اينچ).</t>
  </si>
  <si>
    <t>071305</t>
  </si>
  <si>
    <t>شير پروانه‌اي فولادي بدون فلنج، به قطر نامي 125  (پنج اينچ).</t>
  </si>
  <si>
    <t>071306</t>
  </si>
  <si>
    <t>شير پروانه‌اي فولادي بدون فلنج، به قطر نامي 150  (شش اينچ).</t>
  </si>
  <si>
    <t>071307</t>
  </si>
  <si>
    <t>شير پروانه‌اي فولادي بدون فلنج، به قطر نامي 200  (هشت اينچ).</t>
  </si>
  <si>
    <t>071308</t>
  </si>
  <si>
    <t>شير پروانه‌اي فولادي بدون فلنج، به قطر نامي 250  (ده اينچ).</t>
  </si>
  <si>
    <t>071309</t>
  </si>
  <si>
    <t>شير پروانه‌اي فولادي بدون فلنج، به قطر نامي 300  (دوازده اينچ).</t>
  </si>
  <si>
    <t>071310</t>
  </si>
  <si>
    <t>شير پروانه‌اي فولادي بدون فلنج، به قطر نامي 350  (چهارده اينچ).</t>
  </si>
  <si>
    <t>071311</t>
  </si>
  <si>
    <t>شير پروانه‌اي فولادي بدون فلنج، به قطر نامي 400  (شانزده اينچ).</t>
  </si>
  <si>
    <t>قطعه انبساط، نوع جوشي، به قطر نامي 15.</t>
  </si>
  <si>
    <t>قطعه انبساط، نوع جوشي، به قطر نامي 20.</t>
  </si>
  <si>
    <t>قطعه انبساط، نوع جوشي، به قطر نامي 25.</t>
  </si>
  <si>
    <t>قطعه انبساط، نوع جوشي، به قطر نامي 32.</t>
  </si>
  <si>
    <t>قطعه انبساط، نوع جوشي، به قطر نامي 40.</t>
  </si>
  <si>
    <t>قطعه انبساط، نوع جوشي، به قطر نامي 50.</t>
  </si>
  <si>
    <t>قطعه انبساط، نوع جوشي، به قطر نامي 65.</t>
  </si>
  <si>
    <t>قطعه انبساط، نوع جوشي، به قطر نامي 80.</t>
  </si>
  <si>
    <t>قطعه انبساط، نوع جوشي، به قطر نامي 100.</t>
  </si>
  <si>
    <t>قطعه انبساط، نوع جوشي، به قطر نامي 125.</t>
  </si>
  <si>
    <t>قطعه انبساط، نوع جوشي، به قطر نامي 150.</t>
  </si>
  <si>
    <t>080112</t>
  </si>
  <si>
    <t>قطعه انبساط، نوع جوشي، به قطر نامي 200.</t>
  </si>
  <si>
    <t>080113</t>
  </si>
  <si>
    <t>قطعه انبساط، نوع جوشي، به قطر نامي 250.</t>
  </si>
  <si>
    <t>080114</t>
  </si>
  <si>
    <t>قطعه انبساط، نوع جوشي، به قطر نامي 300.</t>
  </si>
  <si>
    <t>قطعه انبساط، نوع فلنج دار، به قطر نامي 65.</t>
  </si>
  <si>
    <t>قطعه انبساط، نوع فلنج دار، به قطر نامي 80.</t>
  </si>
  <si>
    <t>قطعه انبساط، نوع فلنج دار، به قطر نامي 100.</t>
  </si>
  <si>
    <t>قطعه انبساط، نوع فلنج دار، به قطر نامي 125.</t>
  </si>
  <si>
    <t>قطعه انبساط، نوع فلنج دار، به قطر نامي 150.</t>
  </si>
  <si>
    <t>080206</t>
  </si>
  <si>
    <t>قطعه انبساط، نوع فلنج دار، به قطر نامي 200.</t>
  </si>
  <si>
    <t>080207</t>
  </si>
  <si>
    <t>قطعه انبساط، نوع فلنج دار، به قطر نامي 250.</t>
  </si>
  <si>
    <t>080208</t>
  </si>
  <si>
    <t>قطعه انبساط، نوع فلنج دار، به قطر نامي 300.</t>
  </si>
  <si>
    <t>080209</t>
  </si>
  <si>
    <t>قطعه انبساط، نوع فلنج دار، به قطر نامي 350.</t>
  </si>
  <si>
    <t>080210</t>
  </si>
  <si>
    <t>قطعه انبساط، نوع فلنج دار، به قطر نامي 400.</t>
  </si>
  <si>
    <t>لرزه گير، به‌قطرنامي 32  (يك ‌و يك چهارم اينچ).</t>
  </si>
  <si>
    <t>لرزه گير، به قطرنامي 40  (يك و يك دوم اينچ).</t>
  </si>
  <si>
    <t>لرزه گير، به قطرنامي 50  (دو اينچ).</t>
  </si>
  <si>
    <t>لرزه گير، به قطرنامي 65  (دو و يك دوم اينچ).</t>
  </si>
  <si>
    <t>لرزه گير، به قطر نامي 80  (سه اينچ).</t>
  </si>
  <si>
    <t>لرزه گير، به قطر نامي 100  (چهار اينچ).</t>
  </si>
  <si>
    <t>090107</t>
  </si>
  <si>
    <t>لرزه گير، به قطرنامي 125  (پنج اينچ).</t>
  </si>
  <si>
    <t>090108</t>
  </si>
  <si>
    <t>لرزه گير، به قطرنامي 150  (شش اينچ).</t>
  </si>
  <si>
    <t>090109</t>
  </si>
  <si>
    <t>لرزه گير، به قطر نامي 200  (هشت اينچ).</t>
  </si>
  <si>
    <t>090110</t>
  </si>
  <si>
    <t>لرزه گير، به قطر نامي 250  (ده اينچ).</t>
  </si>
  <si>
    <t>090111</t>
  </si>
  <si>
    <t>لرزه گير، به قطر نامي 300  (دوازده اينچ).</t>
  </si>
  <si>
    <t>090112</t>
  </si>
  <si>
    <t>لرزه گير، به قطر نامي 350  (چهارده اينچ).</t>
  </si>
  <si>
    <t>090113</t>
  </si>
  <si>
    <t>لرزه گير، به قطر نامي 400  (شانزده اينچ).</t>
  </si>
  <si>
    <t>صافي دنده‌اي، به قطر نامي 15  (يك دوم اينچ).</t>
  </si>
  <si>
    <t>صافي دنده‌اي، به قطر نامي 20  (سه چهارم اينچ).</t>
  </si>
  <si>
    <t>صافي دنده‌اي، به قطر نامي 25  (يك اينچ).</t>
  </si>
  <si>
    <t>صافي دنده‌اي، به قطرنامي 32  (يك و يک چهارم اينچ).</t>
  </si>
  <si>
    <t>صافي دنده‌اي، به قطرنامي 40  (يك و يك دوم اينچ).</t>
  </si>
  <si>
    <t>صافي دنده‌اي، به قطر نامي 50  (دو اينچ).</t>
  </si>
  <si>
    <t>صافي دنده‌اي، به قطرنامي 65  (دو و يك دوم اينچ).</t>
  </si>
  <si>
    <t>صافي فلنج دار، به قطر نامي 50  (دو اينچ).</t>
  </si>
  <si>
    <t>صافي فلنج‌دار، به قطرنامي 65  (دو و يك دوم اينچ).</t>
  </si>
  <si>
    <t>صافي فلنج‌دار، به قطرنامي 80  (سه اينچ).</t>
  </si>
  <si>
    <t>صافي فلنج دار، به قطر نامي 100  (چهار اينچ).</t>
  </si>
  <si>
    <t>صافي فلنج دار، به قطر نامي 125  (پنج اينچ).</t>
  </si>
  <si>
    <t>صافي فلنج دار، به قطر نامي 150  (شش اينچ).</t>
  </si>
  <si>
    <t>صافي فلنج دار، به قطر نامي 200  (هشت اينچ).</t>
  </si>
  <si>
    <t>صافي فلنج دار، به قطر نامي 250  (ده اينچ).</t>
  </si>
  <si>
    <t>صافي فلنج دار، به قطر نامي 300  (دوازده اينچ).</t>
  </si>
  <si>
    <t>صافي فلنج دار، به قطر نامي 350  (چهارده اينچ).</t>
  </si>
  <si>
    <t>صافي فلنج دار، به قطر نامي 400  (شانزده اينچ).</t>
  </si>
  <si>
    <t>ديـگ چدني آبگرم، براي ظرفيـت تا 65000 كيلوكالري در ساعت.</t>
  </si>
  <si>
    <t>هزار کيلو کالري در ساعت</t>
  </si>
  <si>
    <t>ديـگ چدني آبگرم، براي ظرفيـت بيـش از65000 كيلوكالري تا130000 كيلوكالري در ساعت.</t>
  </si>
  <si>
    <t>ديـگ چدني آبگرم، براي ظرفيـت بيـش از130000 كيلوكالري در ساعت.</t>
  </si>
  <si>
    <t>ديـگ فولادي آبگرم، براي ظرفيـت تا 400000 كيلوكالري در ساعت.</t>
  </si>
  <si>
    <t>ديـگ فولادي آبگرم، براي ظرفيـت بيـش از400000 كيلوكالري تا650000 كيلوكالري در ساعـت.</t>
  </si>
  <si>
    <t>ديـگ فولادي آبگرم، براي ظرفيـت بيش از650000 كيلوكالري تا1000000 كيلوكالري در ساعت.</t>
  </si>
  <si>
    <t>ديگ فولادي آبگرم، براي ظرفيت بيش از1000000 كيلوكالري تا1500000 كيلوكالري در ساعت.</t>
  </si>
  <si>
    <t>ديگ فولادي آبگرم، براي ظرفيت بيش از1500000 كيلوكالري در ساعت.</t>
  </si>
  <si>
    <t>ديگ بخار، به ظرفيت 450 کيلو گرم بخار در ساعت.</t>
  </si>
  <si>
    <t>ديگ بخار، به ظرفيت 1150 کيلو گرم بخار در ساعت.</t>
  </si>
  <si>
    <t>ديگ بخار، به ظرفيت 1600 کيلو گرم بخار در ساعت.</t>
  </si>
  <si>
    <t>ديگ بخار، به ظرفيت 2050 کيلو گرم بخار در ساعت.</t>
  </si>
  <si>
    <t>ديگ بخار، به ظرفيت 2700 کيلو گرم بخار در ساعت.</t>
  </si>
  <si>
    <t>ديگ بخار، به ظرفيت 4100 کيلو گرم بخار در ساعت.</t>
  </si>
  <si>
    <t>ديگ بخار، به ظرفيت 4550 کيلو گرم بخار در ساعت.</t>
  </si>
  <si>
    <t>ديگ بخار، به ظرفيت 5000 کيلو گرم بخار در ساعت.</t>
  </si>
  <si>
    <t>ديگ بخار، به ظرفيت 6350 کيلو گرم بخار در ساعت.</t>
  </si>
  <si>
    <t>ديگ بخار، به ظرفيت 7250 کيلو گرم بخار در ساعت.</t>
  </si>
  <si>
    <t>ديگ بخار، به ظرفيت 8150 کيلو گرم بخار در ساعت.</t>
  </si>
  <si>
    <t>ديگ بخار، به ظرفيت 10000 کيلو گرم بخار در ساعت.</t>
  </si>
  <si>
    <t>ديگ بخار، به ظرفيت 11800 کيلو گرم بخار در ساعت.</t>
  </si>
  <si>
    <t>ديگ بخار، به ظرفيت 13600 کيلو گرم بخار در ساعت.</t>
  </si>
  <si>
    <t>مشعل گازوييل سوز، براي ديگ آب‌ گرم به ظرفيت گرمايي 18000 تا 35000  كيلو کالري در ساعت.</t>
  </si>
  <si>
    <t>مشعل گازوييل سوز، براي ديگ آب‌ گرم به ظرفيت گرمايي 18000 تا 80000  كيلو کالري در ساعت.</t>
  </si>
  <si>
    <t>مشعل گازوييل سوز، براي ديگ آب‌ گرم به ظرفيت گرمايي 80000 تا 200000  كيلو کالري در ساعت.</t>
  </si>
  <si>
    <t>مشعل گازوييل سوز، براي ديگ آب‌ گرم به ظرفيت گرمايي 130000 تا 300000  كيلو کالري در ساعت.</t>
  </si>
  <si>
    <t>مشعل گازوييل سوز، براي ديگ آب‌ گرم به ظرفيت گرمايي 300000 تا 650000  كيلو کالري در ساعت.</t>
  </si>
  <si>
    <t>مشعل گازوييل سوز، براي ديگ آب‌ گرم به ظرفيت گرمايي 500000 تا 1000000  كيلو کالري در ساعت.</t>
  </si>
  <si>
    <t>مشعل گازسوز، براي ديگ آب گرم به ظرفيت گرمايي 17500 تا 40500 کيلو کالري در ساعت.</t>
  </si>
  <si>
    <t>مشعل گازسوز، براي ديگ آب گرم به ظرفيت گرمايي 33500 تا 91500 کيلو کالري در ساعت.</t>
  </si>
  <si>
    <t>مشعل گازسوز، براي ديگ آب گرم به ظرفيت گرمايي 75500 تا 183000 کيلو کالري در ساعت.</t>
  </si>
  <si>
    <t>مشعل گازسوز، براي ديگ آب گرم به ظرفيت گرمايي 150500 تا 366000 کيلو کالري در ساعت.</t>
  </si>
  <si>
    <t>مشعل گازسوز، براي ديگ آب گرم به ظرفيت گرمايي 323000 تا 581500 کيلو کالري در ساعت.</t>
  </si>
  <si>
    <t>مشعل گازسوز، براي ديگ آب گرم به ظرفيت گرمايي 409000 تا 969000 کيلو کالري در ساعت.</t>
  </si>
  <si>
    <t>مشعل گازسوز، براي ديگ آب گرم به ظرفيت گرمايي 420000 تا 1238000 کيلو کالري در ساعت.</t>
  </si>
  <si>
    <t>مشعل گازسوز، براي ديگ آب گرم به ظرفيت گرمايي 1076500 تا 2153000 کيلو کالري در ساعت.</t>
  </si>
  <si>
    <t>کيلووات</t>
  </si>
  <si>
    <t>ژنراتور گرم‌کننده تابشي (براي نصب روي سيستم استريپ لوله‌اي) شامل ونتوري‌هاي مخلوط کننده سوخت و هوا و شيرهاي گاز سولونوئيدي (يک تا سه مرحله‌اي) فن مکش کننده و سيستم کنترل داخلي قابل اتصال به مرکز کنترل و با قابليت مانيتورينگ از يک نقطه، پوشش کامل فلزي مقاوم در برابر رطوبت و گرد و غبار مناسب براي نصب در فضاي باز (روي بام يا ديوار خارجي) و يا نصب به صورت آويز زير سقف، همراه با شيلنگ فشار قوي گاز و کابل ورودي برق و کليه وسايل لازم براي نصب (قاب فلزي، ساپورت، پيچ و مهره و غيره) براي کار با گاز طبيعي يا گاز مايع به ظرفيت حرارتي نامي بيش از 200  تا 300 کيلووات نسبت به مازاد بر 200 کيلو وات.</t>
  </si>
  <si>
    <t>لوله‌هاي استريپ تابشي يک لوله فولادي آلومينايزد به صورت اسپيرال به طول 1 تا 6 متر با فلنج‌هاي اتصال و قاب پوشش فلزي با رنگ کوره‌اي و عايق پشم شيشه پشت آلومينيومي همراه با کليه وسايل نصب از قبيل زنجير، پيچ و مهره براي آويز، زانو‌ها، سه راهي‌ها، قطعات انتهايي به قطر 200 ميلي‌متر.</t>
  </si>
  <si>
    <t>لوله‌هاي استريپ تابشي يک لوله فولادي آلومينايزد به صورت اسپيرال به طول 1 تا 6 متر با فلنج‌هاي اتصال و قاب پوشش فلزي با رنگ کوره‌اي و عايق پشم شيشه پشت آلومينيومي همراه با کليه وسايل نصب از قبيل زنجير، پيچ و مهره براي آويز، زانو‌ها، سه راهي‌ها، قطعات انتهايي به قطر 300 ميلي‌متر.</t>
  </si>
  <si>
    <t>لوله‌هاي استريپ تابشي دو لوله فولادي آلومينايزد به صورت اسپيرال به طول 1 تا 6 متر با فلنج‌هاي اتصال و قاب پوشش فلزي با رنگ کوره‌اي و عايق پشم شيشه پشت آلومينيومي همراه با کليه وسايل نصب از قبيل زنجير، پيچ و مهره جهت آويز،  زانو‌ها، سه راهي‌ها، قطعات انتهايي به قطر 200 ميلي‌متر.</t>
  </si>
  <si>
    <t>لوله‌هاي استريپ تابشي دو لوله فولادي آلومينايزد به صورت اسپيرال به طول 1 تا 6 متر با فلنج‌هاي اتصال و قاب پوشش فلزي با رنگ کوره‌اي و عايق پشم شيشه پشت آلومينيومي همراه با کليه وسايل نصب از قبيل زنجير، پيچ و مهره جهت آويز،  زانو‌ها، سه راهي‌ها، قطعات انتهايي به قطر 300 ميلي‌متر.</t>
  </si>
  <si>
    <t>ترموستات اتاقي،  نوع قطع و وصلي، با دامنه تنظيم از 10 تا 30 درجه سانتيگراد.</t>
  </si>
  <si>
    <t>ترموستات اتاقي تابستاني- زمستاني، نوع قطع و وصلي، با دامنه تنظيم از 10 تا 30 درجه سانتيگراد، با کليد تغيير فصل.</t>
  </si>
  <si>
    <t>ترموستات اتاقي تابستاني- زمستاني، نوع قطع و وصلي، با دامنه تنظيم از 10 تا 30 درجه سانتيگراد، با کليدهاي  تغيير فصل و سه سرعته (Selector Switch)، براي نصب روي ديوار.</t>
  </si>
  <si>
    <t>ترموستات براي نصب در هواي برگشت فن کويل،  نوع قطع و وصلي، با دامنه تنظيم از 10 تا 30 درجه سانتيگراد.</t>
  </si>
  <si>
    <t>ترموستات کانالي، نوع قطع و وصلي، با دامنه تنظيم از صفر تا 30 درجه سانتيگراد.</t>
  </si>
  <si>
    <t>ترموستات کانالي، نوع قطع و وصلي، S. P. D. T، با دامنه تنظيم از صفر تا 30 درجه سانتيگراد.</t>
  </si>
  <si>
    <t>ترموستات کانالي محافظ يخ زدگي  (Freeze Protection)، نوع قطع و وصلي، S. P. D. T، با المنت به طول 6 متر، با دامنه تنظيم از صفر تا 15 درجه سانتيگراد، براي قطع برق و اعلام خبر.</t>
  </si>
  <si>
    <t>ترموستات کانالي محافظ يخ زدگي(Freeze Protection)، نوع قطع و وصلي، S.P.D.T، با المنت به طول 6 متر، با دامنه تنظيم از صفر تا 15 درجه سانتيگراد و کليد Reset، براي قطع برق و اعلام خبر.</t>
  </si>
  <si>
    <t>ترموستات کانالي ضد حريق (Firestat)، براي نصب در مسير هواي برگشت.</t>
  </si>
  <si>
    <t>ترموستات اتاقي، نوع تدريجي الکترو مکانيکي، با دامنه تنظيم از 10 تا 30 درجه سانتيگراد.</t>
  </si>
  <si>
    <t>ترموستات اتاقي تابستاني – زمستاني، نوع تدريجي الکترو مکانيکي، با دامنه تنظيم از 10 تا 30 درجه سانتيگراد.</t>
  </si>
  <si>
    <t>ترموستات کانالي، نوع تدريجي الكترو مکانيكي، با دامنه تنظيم از منهاي 15 تا 30 درجه سانتيگراد.</t>
  </si>
  <si>
    <t>ترموستات کانالي يا مستغرق، نوع تدريجي الكترو مکانيكي، با دامنه تنظيم از 20 تا 100 درجه سانتيگراد.</t>
  </si>
  <si>
    <t>ترموستات اتاقي، نوع تدريجي به اضافه انتگرال(P+I) الكترو نيكي، با دامنه تنظيم از 10 تا 30 درجه سانتيگراد.</t>
  </si>
  <si>
    <t>ترموستات اتاقي تابستاني – زمستاني، نوع تدريجي به اضافه انتگرال (P+I) الكترو نيكي، با دامنه تنظيم از 10 تا 30 درجه سانتيگراد، با کليد تغيير فصل.</t>
  </si>
  <si>
    <t>هيوميدستات اتاقي، نوع قطع و وصلي، براي تنظيم از صفر تا 95 درصد.</t>
  </si>
  <si>
    <t>هيوميدستات کانالي، نوع قطع و وصلي، براي تنظيم از صفر تا 95 درصد.</t>
  </si>
  <si>
    <t>سنسور دما، براي نصب در هواي آزاد.</t>
  </si>
  <si>
    <t>سنسور دما، براي نصب در اتاق.</t>
  </si>
  <si>
    <t>سنسور دما، براي نصب در کانال.</t>
  </si>
  <si>
    <t>سنسور دما، نوع مستغرق يا جداري، براي نصب در لوله يا مخزن آب.</t>
  </si>
  <si>
    <t>سنسور رطوبت نسبي، براي نصب در اتاق.</t>
  </si>
  <si>
    <t>سنسور رطوبت نسبي، براي نصب در کانال.</t>
  </si>
  <si>
    <t>سنسور فشار، براي آب.</t>
  </si>
  <si>
    <t>سنسور فشار، براي هوا.</t>
  </si>
  <si>
    <t>كنترلر، نوع تدريجي يا تدريجي به اضافه انتگرال (P+I)، با يک خروجي، با سيگنال صفر تا 10 ولت مستقيم.</t>
  </si>
  <si>
    <t>كنترلر، نوع تدريجي يا تدريجي به اضافه انتگرال (P+I)، با دو يا سه خروجي، با سيگنال صفر تا 10 ولت مستقيم.</t>
  </si>
  <si>
    <t>كنترلر، نوع تدريجي يا تدريجي به اضافه انتگرال (P+I)، با دو يا سه خروجي، با سيگنال شناور (Floating)، سه وضعيتي.</t>
  </si>
  <si>
    <t>كنترلر تابستاني -  زمستاني، نوع قطع و وصلي.</t>
  </si>
  <si>
    <t>تايمر الکترونيکي، براي تنظيم برنامه روزانه يا روزانه و هفتگي.</t>
  </si>
  <si>
    <t>رله الكترونيكي، براي همزمان به كار انداختن تا 4 محرک الكتريكي.</t>
  </si>
  <si>
    <t>رله الكترونيكي سه مرحله‌اي (Step Controller)، براي حالتهاي زمستاني يا تابستاني و يا هر دو.</t>
  </si>
  <si>
    <t>رله الكترونيكي براي تبديل حالت تدريجي به حالت قطع و وصلي.</t>
  </si>
  <si>
    <t>کليد تبديل دستي تابستاني- زمستاني.</t>
  </si>
  <si>
    <t>کليد تبديل خودکار تابستاني- زمستاني.</t>
  </si>
  <si>
    <t>کليد دستي تدريجي تنظيم از راه دور، با دامنه تنظيم کنترلر مربوط.</t>
  </si>
  <si>
    <t>کليد دستي تغيير حالت تابستاني -  زمستاني، نوع D. P. D. T.</t>
  </si>
  <si>
    <t>کليد دستي چهار مرحله‌اي، شامل حالتهاي باز، بسته، بينابين و خودکار.</t>
  </si>
  <si>
    <t>کليد دستي شش مرحله‌اي تنظيم از راه دور براي نشان دادن دما (به تناوب).</t>
  </si>
  <si>
    <t>نشان دهنده اختلاف فشار دو طرف فن يا فيلتر دستگاه هوا رسان، با درجه منهاي 50 تا 50 ميليمتر ستون آب.</t>
  </si>
  <si>
    <t>دستگاه کنترل فشار، نوع قطع و وصلي، با دامنه تنظيم صفر تا 10 بار.</t>
  </si>
  <si>
    <t>دستگاه کنترل فشار، نوع قطع و وصلي، با دامنه تنظيم صفر تا 20 بار.</t>
  </si>
  <si>
    <t>دستگاه کنترل فشار، نوع تدريجي الکترومکانيکي، با دامنه تنظيم صفر تا 10 بار.</t>
  </si>
  <si>
    <t>دستگاه کنترل فشار، نوع تدريجي الکترومکانيکي، با دامنه تنظيم صفر تا 20 بار.</t>
  </si>
  <si>
    <t>دستگاه کنترل سطح مايعات، نوع قطع و وصلي، براي کار تا فشار 10 بار.</t>
  </si>
  <si>
    <t>آکوستات مستغرق، نوع قطع و وصلي.</t>
  </si>
  <si>
    <t>آکوستات جداري، نوع قطع و وصلي.</t>
  </si>
  <si>
    <t>فلو سوييچ، نوع قطع و وصلي، براي نصب در کانال هوا.</t>
  </si>
  <si>
    <t>فلو سوييچ، نوع قطع و وصلي، براي نصب در لوله آب.</t>
  </si>
  <si>
    <t>سوييچ الکتريکي اعلام خبر، براي اختلاف فشار دو طرف فيلتر يا فن دستگاه هوا رسان.</t>
  </si>
  <si>
    <t>سوييچ الکتريکي کمکي، براي نصب روي محرک‌هاي تدريجي و يا قطع و وصلي.</t>
  </si>
  <si>
    <t>محرک الکتريکي دمپر، نوع قطع و وصلي يا شناور (Floating)، مناسب براي تا 5/1 متر مربع سطح دمپر.</t>
  </si>
  <si>
    <t>محرک الکتريکي دمپر، نوع قطع و وصلي يا شناور (Floating)، مناسب براي تا 3 متر مربع سطح دمپر.</t>
  </si>
  <si>
    <t>محرک الکتريکي دمپر، نوع قطع و وصلي يا شناور (Floating)، مناسب براي تا 6 متر مربع سطح دمپر.</t>
  </si>
  <si>
    <t>محرک الکتريکي دمپر، نوع قطع و وصلي يا شناور (Floating)، با مکانيزم فنر برگشت، مناسب براي تا 4 متر مربع سطح دمپر.</t>
  </si>
  <si>
    <t>محرک الکتريکي دمپر، نوع تدريجي، با سيگنال ورودي صفر تا 10 ولت مستقيم، مناسب براي تا 5/1 متر مربع سطح دمپر.</t>
  </si>
  <si>
    <t>محرک الکتريکي دمپر، نوع تدريجي، با سيگنال ورودي صفر تا 10 ولت مستقيم، مناسب براي تا 3 متر مربع سطح دمپر.</t>
  </si>
  <si>
    <t>محرک الکتريکي دمپر، نوع تدريجي، با سيگنال ورودي صفر تا 10 ولت مستقيم، مناسب براي تا 6 متر مربع سطح دمپر.</t>
  </si>
  <si>
    <t>محرک الکتريکي دمپر، نوع تدريجي، با سيگنال ورودي صفر تا 10 ولت مستقيم، با مکانيزم فنر برگشت، مناسب براي تا 4 متر مربع سطح دمپر.</t>
  </si>
  <si>
    <t>شير کنترل دو راهه، به قطر نامي 15(يک دوم اينچ).</t>
  </si>
  <si>
    <t>شير کنترل دو راهه، به قطر نامي 20(سه چهارم اينچ).</t>
  </si>
  <si>
    <t>شير کنترل دو راهه، به قطر نامي 25 (يک اينچ).</t>
  </si>
  <si>
    <t>شير کنترل دو راهه، به قطر نامي 32 (يک و يک چهارم اينچ).</t>
  </si>
  <si>
    <t>شير کنترل دو راهه، به قطر نامي 40 (يک و يک دوم اينچ).</t>
  </si>
  <si>
    <t>شير کنترل دو راهه، به قطر نامي 50 (دو اينچ).</t>
  </si>
  <si>
    <t>شير کنترل دو راهه، به قطر نامي 65 (دو و يک دوم اينچ).</t>
  </si>
  <si>
    <t>شير کنترل دو راهه، به قطر نامي 80 (سه اينچ).</t>
  </si>
  <si>
    <t>شير کنترل دو راهه، به قطر نامي 100 (چهار اينچ).</t>
  </si>
  <si>
    <t>شير کنترل سه راهه، به قطر نامي 15 (يک دوم اينچ).</t>
  </si>
  <si>
    <t>شير کنترل سه راهه، به قطر نامي 20 (سه چهارم اينچ).</t>
  </si>
  <si>
    <t>شير کنترل سه راهه، به قطر نامي 25 (يک اينچ).</t>
  </si>
  <si>
    <t>شير کنترل سه راهه، به قطر نامي 32 (يک و يک چهارم اينچ).</t>
  </si>
  <si>
    <t>شيرکنترل سه راهه، به قطر نامي 40 (يک‌و‌يک‌دوم اينچ).</t>
  </si>
  <si>
    <t>شير کنترل سه راهه، به قطر نامي 50 (دو  اينچ).</t>
  </si>
  <si>
    <t>شيرکنترل سه‌راهه، به قطر نامي65(دو و يک دوم اينچ).</t>
  </si>
  <si>
    <t>شير کنترل سه راهه، به قطر نامي 80 (سه اينچ).</t>
  </si>
  <si>
    <t>شير کنترل سه راهه، به قطر نامي 100 (چهار اينچ).</t>
  </si>
  <si>
    <t>محرک الکتريکي، براي نصب روي شير کنترل.</t>
  </si>
  <si>
    <t>محرک الکتريکي، براي نصب روي شير کنترل، با مکانيزم فنر برگشت.</t>
  </si>
  <si>
    <t>شير کنترل پروانه‌اي، با محرک الکتريکي به طور کامل، به قطر نامي 25 (يک اينچ).</t>
  </si>
  <si>
    <t>شير کنترل پروانه‌اي، با محرک الکتريکي به طور کامل، به قطر نامي 32 (يک و يک چهارم اينچ).</t>
  </si>
  <si>
    <t>شير کنترل پروانه‌اي، با محرک الکتريکي به طور کامل، به قطر نامي 40 (يک و يک دوم اينچ).</t>
  </si>
  <si>
    <t>شير کنترل پروانه‌اي، با محرک الکتريکي به طور کامل، به قطر نامي 50 (دو اينچ).</t>
  </si>
  <si>
    <t>شير کنترل پروانه‌اي، با محرک الکتريکي به طور کامل، به قطر نامي 65 (دو و يک دوم اينچ).</t>
  </si>
  <si>
    <t>شير کنترل پروانه‌اي، با محرک الکتريکي به طور کامل، به قطر نامي 80 (سه اينچ).</t>
  </si>
  <si>
    <t>شير کنترل پروانه‌اي، با محرک الکتريکي به طور کامل، به قطر نامي 100 (چهار اينچ).</t>
  </si>
  <si>
    <t>پتانسيومتر (Potentiometer)، الکتريکي کمکي، براي نصب روي شير يا دمپر.</t>
  </si>
  <si>
    <t>پوزيسيونر (Positioner)، الکترونيکي، براي نصب روي شير يا دمپر.</t>
  </si>
  <si>
    <t>شير کنترل سه راهه، با محرک الکتريکي به طور کامل، نوع قطع و وصلي، مخصوص فن کويل، به قطر نامي 15 (يك دوم اينچ).</t>
  </si>
  <si>
    <t>شير کنترل سه راهه، با محرک الکتريکي به طور کامل، نوع قطع و وصلي، مخصوص فن کويل، به قطر نامي 20 (سه چهارم اينچ).</t>
  </si>
  <si>
    <t>شير کنترل سه راهه، با محرک الکتريکي به طور کامل، نوع قطع و وصلي، مخصوص فن کويل، با کليد خودکار تغيير حالت تابستاني - زمستاني، به قطر نامي 15 (يك دوم اينچ).</t>
  </si>
  <si>
    <t>شير کنترل سه راهه، با محرک الکتريکي به طور کامل، نوع قطع و وصلي، مخصوص فن کويل، با کليد خودکار تغيير حالت تابستاني - زمستاني، به قطر نامي 20 (سه چهارم اينچ).</t>
  </si>
  <si>
    <t>شير ترموستاتيک رادياتور، به قطر نامي 15 (يك دوم اينچ).</t>
  </si>
  <si>
    <t>شير ترموستاتيک رادياتور، به قطر نامي 20(سه چهارم اينچ).</t>
  </si>
  <si>
    <t>ترانسفورماتور 220 به 24 ولت متناوب، با توان تا 100 ولت آمپر.</t>
  </si>
  <si>
    <t>ترانسفورماتور 220 به 24 ولت متناوب، با توان تا 200 ولت آمپر.</t>
  </si>
  <si>
    <t>ترمومتر قايم با غلاف، به ارتفاع 17 سانتيمتر.</t>
  </si>
  <si>
    <t>ترمومتر قايم با غلاف، به ارتفاع 25 سانتيمتر.</t>
  </si>
  <si>
    <t>ترمومتر گوشه‌اي با غلاف، به ارتفاع 17 سانتيمتر.</t>
  </si>
  <si>
    <t>ترمومتر گوشه‌اي با غلاف، به ارتفاع 25 سانتيمتر.</t>
  </si>
  <si>
    <t>ترمومتر مانومتر قايم، توام.</t>
  </si>
  <si>
    <t>ترمومتر با لوله حساس، از منهاي 18 تا 70 درجه سانتيگراد، براي محفظه بسته.</t>
  </si>
  <si>
    <t>ترمومتر با لوله حساس، از 10 تا 120 درجه سانتيگراد، براي محفظه بسته.</t>
  </si>
  <si>
    <t>مانومتر با صفحه دايره‌اي، از صفر تا 30 بار، با شير سماوري.</t>
  </si>
  <si>
    <t>مانومتر 15 سانتيمتري، مدرج از 15 تا 63 متر آّب.</t>
  </si>
  <si>
    <t>آب نما، براي منابع انبساط بسته و يا منابع تحت فشار، شامل لوله آب نما و شير تخليه.</t>
  </si>
  <si>
    <t>سوپاپ گازوييل دو ساچمه‌اي، به قطر نامي 15 (يک دوم اينچ).</t>
  </si>
  <si>
    <t>سوپاپ گازوييل دو ساچمه‌اي، به قطر نامي 20 (سه چهارم اينچ).</t>
  </si>
  <si>
    <t>سوپاپ گازوييل دو ساچمه‌اي، به قطر نامي 25 (يک اينچ).</t>
  </si>
  <si>
    <t>سوپاپ گازوييل دو ساچمه‌اي، به قطر نامي 32 (يک و يک چهارم اينچ).</t>
  </si>
  <si>
    <t>شير شناور، به قطر نامي 15 (يک دوم اينچ).</t>
  </si>
  <si>
    <t>شير شناور، به قطر نامي 20 (سه چهارم اينچ).</t>
  </si>
  <si>
    <t>شير شناور، به قطر نامي 25 (يک اينچ).</t>
  </si>
  <si>
    <t>شير شناور، به قطر نامي 32 (يک و يک چهارم اينچ).</t>
  </si>
  <si>
    <t>شير شناور، به قطر نامي 40 (يک و يک دوم اينچ).</t>
  </si>
  <si>
    <t>شير شناور، به قطر نامي 50 (دو اينچ).</t>
  </si>
  <si>
    <t>شير شناور، به قطر نامي 65 (دو و يک دوم اينچ).</t>
  </si>
  <si>
    <t>آب گرم كن گازسوز، به ظرفيت 190 ليتر.</t>
  </si>
  <si>
    <t>رادياتور فولادي، به ارتفاع 500 ميليمتر.</t>
  </si>
  <si>
    <t>يکصد کيلو کالري در ساعت</t>
  </si>
  <si>
    <t>رادياتور فولادي، به ارتفاع 600 ميليمتر.</t>
  </si>
  <si>
    <t>رادياتور آلومينيومي، به ارتفاع 350 ميليمتر.</t>
  </si>
  <si>
    <t>رادياتور آلومينيومي، به ارتفاع 500 ميليمتر.</t>
  </si>
  <si>
    <t>رادياتور آلومينيومي، به ارتفاع 600 ميليمتر.</t>
  </si>
  <si>
    <t>آب سردكن، به ظرفيت 38 ليتر در ساعت، با بدنه و رويه از فولاد زنگ ناپذير براق، مخزن از فولاد و كمپرسور مجهز به الكتروموتور يك فاز يك چهارم اسب، ترموستات حرارتي قابل تنظيم و يك عدد شير فولادي برداشت آب.</t>
  </si>
  <si>
    <t>آب سردكن، به ظرفيت 57 ليتر در ساعت ، با بدنه و رويه از فولاد زنگ ناپذير براق، مخزن از فولاد و كمپرسور مجهز به الكتروموتور يك فاز يك سوم اسب، ترموستات حرارتي قابل تنظيم و يك عدد شير فولادي برداشت آب.</t>
  </si>
  <si>
    <t>آب سردكن، به ظرفيت  114 ليتر در ساعت، با بدنه و رويه ازفولاد زنگ ناپذير براق، مخزن از فولاد و كمپرسور مجهز به الكتروموتور يك فاز يك دوم اسب، ترموستات حرارتي قابل تنظيم و دو عدد شير فولادي برداشت آب.</t>
  </si>
  <si>
    <t>آب سردكن، به ظرفيت 190 ليتر در ساعت، با بدنه و رويه از فولاد زنگ ناپذير براق، مخزن از فولاد و كمپرسور مجهز به الكتروموتور يك فاز يك و يك چهارم اسب، ترموستات حرارتي قابل تنظيم و چهار عدد شير فولادي برداشت آب.</t>
  </si>
  <si>
    <t>كانال هوا به ضخامت 5/0 ميليمتر.</t>
  </si>
  <si>
    <t>كانال هوا به ضخامت 0/6 ميليمتر.</t>
  </si>
  <si>
    <t>كانال هوا به ضخامت 0/75 ميليمتر.</t>
  </si>
  <si>
    <t>كانال هوا به ضخامت 1 ميليمتر.</t>
  </si>
  <si>
    <t>كانال هوا به ضخامت 1/25 ميليمتر.</t>
  </si>
  <si>
    <t>كانال هوا به ضخامت 1/5 ميليمتر.</t>
  </si>
  <si>
    <t>اتصالات قابل انعطاف، براي حذف ارتعاشات، به اندازه مشخص شده در نقشه‌ها، به ازاي سطح اتصال ساخته شده.</t>
  </si>
  <si>
    <t>دريچه هوا، به قطرتا 30 سانتيمتر.</t>
  </si>
  <si>
    <t>دريچه هوا، به قطر 35 سانتيمتر.</t>
  </si>
  <si>
    <t>دريچه هوا، به قطر 38 سانتيمتر.</t>
  </si>
  <si>
    <t>دريچه هوا، به قطر 40 سانتيمتر.</t>
  </si>
  <si>
    <t>دريچه هوا، به قطر 46 سانتيمتر.</t>
  </si>
  <si>
    <t>دريچه هوا، به قطر 50 سانتيمتر.</t>
  </si>
  <si>
    <t>دريچه هوا، به قطر 60 سانتيمتر.</t>
  </si>
  <si>
    <t>دريچه يک طرفه (single deflection).</t>
  </si>
  <si>
    <t>سانتيمتر مربع</t>
  </si>
  <si>
    <t>دريچه دوطرفه (double deflection).</t>
  </si>
  <si>
    <t>دريچه سقفي چهار گوش.</t>
  </si>
  <si>
    <t>دريچه ثابت.</t>
  </si>
  <si>
    <t>پادري V  شکل بدون قاب.</t>
  </si>
  <si>
    <t>پادري V  شکل با قاب.</t>
  </si>
  <si>
    <t>دريچه خطي (linear grille) آلومينيومي.</t>
  </si>
  <si>
    <t>دريچه  خطي سقفي (linear diffuser) آلومينيومي.</t>
  </si>
  <si>
    <t>دمپر ضد آتش.</t>
  </si>
  <si>
    <t>دمپر دستي.</t>
  </si>
  <si>
    <t>دودکش از ورق فولادي، به ضخامت تعيين شده در نقشه‌ها، شامل کلاهک جلوگيري از نفوذ آب باران، پره‌هاي هدايت دود (دريچه هوا)، دريچه تخليه دوده با تمام اتصال‌ها و بست‌هاي لازم و دو دست رنگ محتوي ترکيبات روي و کرم.</t>
  </si>
  <si>
    <t>هواكش پنجره اي، به قطر 15 سانتيمتر و ظرفيت تخليه 95 ليتر در ثانيه.</t>
  </si>
  <si>
    <t>هواكش پنجره اي، به قطر 20 سانتيمتر و ظرفيت تخليه بيش از 95 تا 190 ليتر در ثانيه.</t>
  </si>
  <si>
    <t>هواكش پنجره اي، به قطر 25 سانتيمتر و ظرفيت تخليه بيش از 190 تا 280 ليتر در ثانيه.</t>
  </si>
  <si>
    <t>هواكش ديواري، به قطر 30 سانتيمتر و ظرفيت تخليه 425 ليتر در ثانيه.</t>
  </si>
  <si>
    <t>هواكش ديواري، به قطر 35 سانتيمتر و ظرفيت تخليه بيش از 425 تا 660 ليتر در ثانيه.</t>
  </si>
  <si>
    <t>هواكش ديواري، به قطر40 سانتيمتر و ظرفيت تخليه بيش از 660 تا 990 ليتر در ثانيه.</t>
  </si>
  <si>
    <t>هواكش ديواري، به قطر 45 سانتيمتر و ظرفيت تخليه بيش از 990 تا 1270 ليتر در ثانيه.</t>
  </si>
  <si>
    <t>هواكش ديواري، به قطر50 سانتيمتر و ظرفيت تخليه بيش از 1270 تا 1770 ليتر در ثانيه با موتور يك فاز يا سه فاز.</t>
  </si>
  <si>
    <t>هواكش سقفي، به ظرفيت تا 165 ليتر در ثانيه، باموتور يك فاز يا سه فاز.</t>
  </si>
  <si>
    <t>هواكش سقفي، به ظرفيت بيش از  165 تا 378 ليتر در ثانيه، با موتور يك فاز يا سه فاز.</t>
  </si>
  <si>
    <t>هواكش سقفي، به ظرفيت بيش از 378 تا 755 ليتر در ثانيه،  با موتور سه فاز.</t>
  </si>
  <si>
    <t>هواكش سقفي، به ظرفيت بيش از 755 تا 1110 ليتر در ثانيه، با موتور سه فاز.</t>
  </si>
  <si>
    <t>هواکش حلزونی با فن به قطر 280 میلی متر با گذر متوسط هوا در حدود 1800 مترمکعب در ساعت در مقابل فشار استاتیک 200 پاسکال</t>
  </si>
  <si>
    <t>هواکش حلزونی با فن به قطر 315 میلی متر با گذر متوسط هوا در حدود 2500 مترمکعب در ساعت در مقابل فشار استاتیک 200 پاسکال</t>
  </si>
  <si>
    <t>هواکش حلزونی با فن به قطر 355 میلی متر با گذر متوسط هوا در حدود 3000 مترمکعب در ساعت در مقابل فشار استاتیک 200 پاسکال</t>
  </si>
  <si>
    <t>هواکش حلزونی با فن به قطر 400 میلی متر با گذر متوسط هوا در حدود 4000 مترمکعب در ساعت در مقابل فشار استاتیک 250 پاسکال</t>
  </si>
  <si>
    <t>هواکش حلزونی با فن به قطر 450 میلی متر با گذر متوسط هوا در حدود 5000 مترمکعب در ساعت در مقابل فشار استاتیک 250 پاسکال</t>
  </si>
  <si>
    <t>هواکش حلزونی با فن به قطر 500 میلی متر با گذر متوسط هوا در حدود 6000 مترمکعب در ساعت در مقابل فشار استاتیک 250 پاسکال</t>
  </si>
  <si>
    <t>هواکش حلزونی با فن به قطر 560 میلی متر با گذر متوسط هوا در حدود 8000 مترمکعب در ساعت در مقابل فشار استاتیک 250 پاسکال</t>
  </si>
  <si>
    <t>هواکش حلزونی با فن به قطر 630 میلی متر با گذر متوسط هوا در حدود 11000 مترمکعب در ساعت در مقابل فشار استاتیک 250 پاسکال</t>
  </si>
  <si>
    <t>هواکش حلزونی با فن به قطر 710 میلی متر با گذر متوسط هوا در حدود 13000 مترمکعب در ساعت در مقابل فشار استاتیک 250 پاسکال</t>
  </si>
  <si>
    <t>هواکش حلزونی با فن به قطر 800 میلی متر با گذر متوسط هوا در حدود 15000 مترمکعب در ساعت در مقابل فشار استاتیک 250 پاسکال</t>
  </si>
  <si>
    <t>هواکش حلزونی با فن به قطر 900 میلی متر با گذر متوسط هوا در حدود 20000 مترمکعب در ساعت در مقابل فشار استاتیک 250 پاسکال</t>
  </si>
  <si>
    <t>هواکش حلزونی با فن به قطر 1000 میلی متر با گذر متوسط هوا در حدود 28000 مترمکعب در ساعت در مقابل فشار استاتیک 250 پاسکال</t>
  </si>
  <si>
    <t>فن كويل زميني، به ظرفيت 95 ليتر در ثانيه.</t>
  </si>
  <si>
    <t>فن كويل زميني، به ظرفيت 140 ليتر در ثانيه.</t>
  </si>
  <si>
    <t>فن كويل زميني، به ظرفيت 190 ليتر در ثانيه.</t>
  </si>
  <si>
    <t>فن كويل زميني، به ظرفيت 280 ليتر در ثانيه.</t>
  </si>
  <si>
    <t>فن كويل زميني، به ظرفيت 380 ليتر در ثانيه.</t>
  </si>
  <si>
    <t>فن كويل زميني، به ظرفيت 470 ليتر در ثانيه.</t>
  </si>
  <si>
    <t>فن كويل زميني، به ظرفيت 565 ليتر در ثانيه.</t>
  </si>
  <si>
    <t>يونيت هيتر، نوع افقي، به ظرفيت 2500 تا 3800 کيلو کالري در ساعت.</t>
  </si>
  <si>
    <t>يونيت هيتر، نوع افقي، به ظرفيت بيش از  3800 تا 5000 کيلو کالري در ساعت.</t>
  </si>
  <si>
    <t>يونيت هيتر، نوع افقي، به ظرفيت بيش از 5000 تا 7550 کيلو کالري در ساعت.</t>
  </si>
  <si>
    <t>يونيت هيتر، نوع افقي، به ظرفيت بيش از 7550 تا 10050 کيلو کالري در ساعت.</t>
  </si>
  <si>
    <t>يونيت هيتر، نوع افقي، به ظرفيت بيش از 10050 تا 15100 کيلو کالري در ساعت.</t>
  </si>
  <si>
    <t>يونيت هيتر، نوع افقي، به ظرفيت بيش از 15100 تا 20150 کيلو کالري در ساعت.</t>
  </si>
  <si>
    <t>يونيت هيتر، نوع افقي، به ظرفيت بيش از 20150 تا 25200 کيلو کالري در ساعت.</t>
  </si>
  <si>
    <t>يونيت هيتر، نوع افقي، به ظرفيت بيش از 25200 تا 30200 کيلو کالري در ساعت.</t>
  </si>
  <si>
    <t>يونيت هيتر، نوع قايم، به ظرفيت 2500 تا 3800 کيلو کالري در ساعت.</t>
  </si>
  <si>
    <t>يونيت هيتر، نوع قايم، به ظرفيت بيش از 3800 تا 5000 کيلو کالري در ساعت.</t>
  </si>
  <si>
    <t>يونيت هيتر، نوع قايم، به ظرفيت بيش از 5000 تا 7550 کيلو کالري در ساعت.</t>
  </si>
  <si>
    <t>يونيت هيتر، نوع قايم، به ظرفيت بيش از 7550 تا 10050 کيلو کالري در ساعت.</t>
  </si>
  <si>
    <t>يونيت هيتر، نوع قايم، به ظرفيت بيش از 10050 تا 15100 کيلو کالري در ساعت.</t>
  </si>
  <si>
    <t>يونيت هيتر، نوع قايم، به ظرفيت بيش از 15100 تا 20150 کيلو کالري در ساعت.</t>
  </si>
  <si>
    <t>يونيت هيتر، نوع قايم، به ظرفيت بيش از 20150 تا 25200 کيلو کالري در ساعت.</t>
  </si>
  <si>
    <t>فن کويل کانالي، به ظرفيت 380 ليتر در ثانيه.</t>
  </si>
  <si>
    <t>فن کويل کانالي، به ظرفيت 480 ليتر در ثانيه.</t>
  </si>
  <si>
    <t>فن کويل کانالي، به ظرفيت 565 ليتر در ثانيه.</t>
  </si>
  <si>
    <t>فن کويل کانالي، به ظرفيت 660 ليتر در ثانيه.</t>
  </si>
  <si>
    <t>فن کويل کانالي، به ظرفيت 755 ليتر در ثانيه.</t>
  </si>
  <si>
    <t>فن کويل کانالي، به ظرفيت 850 ليتر در ثانيه.</t>
  </si>
  <si>
    <t>فن کويل کانالي، به ظرفيت 940 ليتر در ثانيه.</t>
  </si>
  <si>
    <t>محفظه کامل فن دارای یک دستگاه بلوئر به قطر 10 اینچ (250 میلی متر)</t>
  </si>
  <si>
    <t>محفظه کامل فن دارای دو دستگاه بلوئر به قطر 10 اینچ (250 میلی متر)</t>
  </si>
  <si>
    <t>محفظه کامل فن دارای یک دستگاه بلوئر به قطر 12 اینچ (315 میلی متر)</t>
  </si>
  <si>
    <t>محفظه کامل فن دارای دو دستگاه بلوئر به قطر 12 اینچ (315 میلی متر)</t>
  </si>
  <si>
    <t>محفظه کامل فن دارای یک دستگاه بلوئر به قطر 15 اینچ (355میلی متر)</t>
  </si>
  <si>
    <t>محفظه کامل فن دارای دو دستگاه بلوئر به قطر 15 اینچ (355 میلی متر)</t>
  </si>
  <si>
    <t>محفظه کامل فن دارای یک دستگاه بلوئر به قطر 18 اینچ (450 میلی متر)</t>
  </si>
  <si>
    <t>محفظه کامل فن دارای دو دستگاه بلوئر به قطر 18 اینچ (450 میلی متر)</t>
  </si>
  <si>
    <t>محفظه کامل فن دارای یک دستگاه بلوئر به قطر 20 اینچ (500  میلی متر)</t>
  </si>
  <si>
    <t>محفظه کامل فن دارای دو دستگاه بلوئر به قطر 20 اینچ (500 میلی متر)</t>
  </si>
  <si>
    <t>محفظه کامل فن دارای یک دستگاه بلوئر به قطر 22 اینچ (560 میلی متر)</t>
  </si>
  <si>
    <t>محفظه کامل فن دارای دو دستگاه بلوئر به قطر 22 اینچ ( 560 میلی متر)</t>
  </si>
  <si>
    <t>محفظه کامل فن دارای یک دستگاه بلوئر به قطر 25 اینچ (630 میلی متر)</t>
  </si>
  <si>
    <t>محفظه کامل فن دارای دو دستگاه بلوئر به قطر 25 اینچ (630 میلی متر)</t>
  </si>
  <si>
    <t>محفظه کامل فن دارای یک دستگاه بلوئر به قطر 28 اینچ ( 710 میلی متر)</t>
  </si>
  <si>
    <t>محفظه کامل فن دارای دو دستگاه بلوئر به قطر 28 اینچ (710 میلی متر)</t>
  </si>
  <si>
    <t>کوپل سرمائی یا گرمائی با تعداد 8 پره در اینچ</t>
  </si>
  <si>
    <t>فوت مربع</t>
  </si>
  <si>
    <t>کوپل سرمائی یا گرمائی با تعداد 10 پره در اینچ</t>
  </si>
  <si>
    <t>کوپل سرمائی یا گرمائی با تعداد 12 پره در اینچ</t>
  </si>
  <si>
    <t>کوپل سرمائی یا گرمائی با تعداد 14 پره در اینچ</t>
  </si>
  <si>
    <t>جعبه اختلاط هوا متناسب برای دستگاه دارای یک بلوئر به قطر 10 اینچ (250)</t>
  </si>
  <si>
    <t>جعبه اختلاط هوا متناسب برای دستگاه دارای دو بلوئر به قطر 10 اینچ (250)</t>
  </si>
  <si>
    <t>جعبه اختلاط هوا متناسب برای دستگاه دارای یک بلوئر به قطر 12 اینچ (355)</t>
  </si>
  <si>
    <t>جعبه اختلاط هوا متناسب برای دستگاه دارای دو بلوئر به قطر 12 اینچ (355)</t>
  </si>
  <si>
    <t>جعبه اختلاط هوا متناسب برای دستگاه دارای یک بلوئر به قطر 15 اینچ (355)</t>
  </si>
  <si>
    <t>جعبه اختلاط هوا متناسب برای دستگاه دارای دو بلوئر به قطر 15 اینچ (355)</t>
  </si>
  <si>
    <t>جعبه اختلاط هوا متناسب برای دستگاه دارای یک بلوئر به قطر 18 اینچ (450)</t>
  </si>
  <si>
    <t>جعبه اختلاط هوا متناسب برای دستگاه دارای دو بلوئر به قطر 18 اینچ (450)</t>
  </si>
  <si>
    <t>جعبه اختلاط هوا متناسب برای دستگاه دارای یک بلوئر به قطر 20 اینچ (500)</t>
  </si>
  <si>
    <t>جعبه اختلاط هوا متناسب برای دستگاه دارای دو بلوئر به قطر 20 اینچ (500)</t>
  </si>
  <si>
    <t>جعبه اختلاط هوا متناسب برای دستگاه دارای یک بلوئر به قطر 22 اینچ (560)</t>
  </si>
  <si>
    <t>جعبه اختلاط هوا متناسب برای دستگاه دارای دو بلوئر به قطر 22 اینچ (560)</t>
  </si>
  <si>
    <t>جعبه اختلاط هوا متناسب برای دستگاه دارای یک بلوئر به قطر 25 اینچ (630)</t>
  </si>
  <si>
    <t>جعبه اختلاط هوا متناسب برای دستگاه دارای دو بلوئر به قطر 25 اینچ (630)</t>
  </si>
  <si>
    <t>جعبه اختلاط هوا متناسب برای دستگاه دارای یک بلوئر به قطر 28 اینچ (710)</t>
  </si>
  <si>
    <t>جعبه اختلاط هوا متناسب برای دستگاه دارای دو بلوئر به قطر 28 اینچ (710)</t>
  </si>
  <si>
    <t>كولرآبي با پوشال، به ظرفيت تقريبي 1400 ليتر در ثانيه.</t>
  </si>
  <si>
    <t>كولرآبي با پوشال، به ظرفيت تقريبي 1900 ليتر در ثانيه.</t>
  </si>
  <si>
    <t>كولرآبي با پوشال، به ظرفيت تقريبي 3300 ليتر در ثانيه.</t>
  </si>
  <si>
    <t>كولرآبي با پد سلولزي، به ظرفيت تقريبي 1800 ليتر در ثانيه.</t>
  </si>
  <si>
    <t>كولرآبي با پد سلولزي، به ظرفيت تقريبي 2200 ليتر در ثانيه.</t>
  </si>
  <si>
    <t>كولرآبي با پد سلولزي، به ظرفيت تقريبي 3050 ليتر در ثانيه.</t>
  </si>
  <si>
    <t>كولر گازي، به ظرفيت 2250 کيلو کالري در ساعت.</t>
  </si>
  <si>
    <t>كولر گازي، به ظرفيت 3000 کيلو کالري در ساعت.</t>
  </si>
  <si>
    <t>كولر گازي، به ظرفيت 4500 کيلو کالري در ساعت.</t>
  </si>
  <si>
    <t>كولر گازي، به ظرفيت 6000 کيلو کالري در ساعت.</t>
  </si>
  <si>
    <t>كولر گازي، به ظرفيت 6750 کيلو کالري در ساعت.</t>
  </si>
  <si>
    <t>الكترو پمـپ روي خط، با قدرت موتور يک دوازدهم اسب بخار، قطر لوله رانش 25 ميلي‌متر (يک اينچ)، آب‌دهي 10 گالن در دقيقه و ارتفاع 5 فوت.</t>
  </si>
  <si>
    <t>الكترو پمـپ روي خط، با قدرت موتور يک هشتم اسب بخار، قطر لوله رانش 32 ميلي‌متر (يک و يک چهارم اينچ)، آب‌دهي 20 گالن در دقيقه و ارتفاع 5 فوت.</t>
  </si>
  <si>
    <t>الكترو پمـپ روي خط، با قدرت موتور يک ششم اسب بخار، قطر لوله رانش 50 ميلي‌متر (دو اينچ)، آب‌دهي 30 گالن در دقيقه و ارتفاع 10 فوت.</t>
  </si>
  <si>
    <t>الكترو پمـپ روي خط، با قدرت موتور يک سوم اسب بخار، قطر لوله رانش 40 ميلي‌متر (يک و يک دوم اينچ)، آب‌دهي 30 گالن در دقيقه و ارتفاع 18 فوت.</t>
  </si>
  <si>
    <t>الكترو پمـپ روي خط، با قدرت موتور يک سوم اسب بخار، قطر لوله رانش 65 ميلي‌متر (دو و يک دوم اينچ)، آب‌دهي 40 گالن در دقيقه و ارتفاع 8 فوت.</t>
  </si>
  <si>
    <t>الكترو پمـپ روي خط، با قدرت موتور يک دوم اسب بخار، قطر لوله رانش 50 ميلي‌متر (دو اينچ)، آب‌دهي 40 گالن در دقيقه و ارتفاع 19 فوت.</t>
  </si>
  <si>
    <t>الكترو پمـپ روي خط، با قدرت موتور سه چهارم اسب بخار، قطر لوله رانش 80 ميلي‌متر (سه اينچ)، آب‌دهي 60 گالن در دقيقه و ارتفاع 16 فوت.</t>
  </si>
  <si>
    <t>پمپ در اندازه 125-32.</t>
  </si>
  <si>
    <t>پمپ در اندازه 160-32.</t>
  </si>
  <si>
    <t>پمپ در اندازه 200-32.</t>
  </si>
  <si>
    <t>پمپ در اندازه 125-40.</t>
  </si>
  <si>
    <t>پمپ در اندازه 160-40.</t>
  </si>
  <si>
    <t>پمپ در اندازه 200-40.</t>
  </si>
  <si>
    <t>پمپ در اندازه 250-40.</t>
  </si>
  <si>
    <t>پمپ در اندازه 125-50.</t>
  </si>
  <si>
    <t>پمپ در اندازه 160-50.</t>
  </si>
  <si>
    <t>پمپ در اندازه 200-50.</t>
  </si>
  <si>
    <t>پمپ در اندازه 250-50.</t>
  </si>
  <si>
    <t>پمپ دراندازه 125-65.</t>
  </si>
  <si>
    <t>پمپ در اندازه 160-65.</t>
  </si>
  <si>
    <t>پمپ در اندازه 200-65.</t>
  </si>
  <si>
    <t>پمپ در اندازه 250-65.</t>
  </si>
  <si>
    <t>پمپ در اندازه 315-65.</t>
  </si>
  <si>
    <t>پمپ در اندازه 160-80.</t>
  </si>
  <si>
    <t>پمپ در اندازه 200-80.</t>
  </si>
  <si>
    <t>پمپ در اندازه 250-80.</t>
  </si>
  <si>
    <t>پمپ در اندازه 315-80.</t>
  </si>
  <si>
    <t>پمپ در اندازه 200-100.</t>
  </si>
  <si>
    <t>پمپ در اندازه 250-100.</t>
  </si>
  <si>
    <t>پمپ در اندازه 315-100.</t>
  </si>
  <si>
    <t>پمپ در اندازه 400-100.</t>
  </si>
  <si>
    <t>پمپ در اندازه 250-125.</t>
  </si>
  <si>
    <t>پمپ در اندازه 315-125.</t>
  </si>
  <si>
    <t>پمپ در اندازه 400-125.</t>
  </si>
  <si>
    <t>پمپ در اندازه 315-150.</t>
  </si>
  <si>
    <t>پمپ در اندازه 400-150.</t>
  </si>
  <si>
    <t>الكترو موتور، حدود 1500 دور در دقيقه، به قدرت سه چهارم اسب بخار.</t>
  </si>
  <si>
    <t>الكترو موتور، حدود 1500 دور در دقيقه، به قدرت يك اسب بخار.</t>
  </si>
  <si>
    <t>الكترو موتور، حدود 1500 دور در دقيقه، به قدرت 5/1 اسب بخار.</t>
  </si>
  <si>
    <t>الكترو موتور، حدود 1500 دور در دقيقه، به قدرت 2 اسب بخار.</t>
  </si>
  <si>
    <t>الكترو موتور، حدود 1500 دور در دقيقه، به قدرت 3 اسب بخار.</t>
  </si>
  <si>
    <t>الكترو موتور، حدود 1500 دور در دقيقه، به قدرت 4 اسب بخار.</t>
  </si>
  <si>
    <t>الكترو موتور، حدود 1500 دور در دقيقه، به قدرت 5 اسب بخار.</t>
  </si>
  <si>
    <t>الكترو موتور، حدود 1500 دور در دقيقه، به قدرت 5/7 اسب بخار.</t>
  </si>
  <si>
    <t>الكترو موتور، حدود 1500 دور در دقيقه، به قدرت 10 اسب بخار.</t>
  </si>
  <si>
    <t>الكترو موتور، حدود 1500 دور در دقيقه، به قدرت 15 اسب بخار.</t>
  </si>
  <si>
    <t>الكترو موتور، حدود 1500 دور در دقيقه، به قدرت 20 اسب بخار.</t>
  </si>
  <si>
    <t>الكترو موتور، حدود 1500 دور در دقيقه، به قدرت 25 اسب بخار.</t>
  </si>
  <si>
    <t>الكترو موتور، حدود 1500 دور در دقيقه، به قدرت 30 اسب بخار.</t>
  </si>
  <si>
    <t>الكترو موتور، حدود 1500 دور در دقيقه، به قدرت 40 اسب بخار.</t>
  </si>
  <si>
    <t>الكترو موتور، حدود 1500 دور در دقيقه، به قدرت 50 اسب بخار.</t>
  </si>
  <si>
    <t>عايق پشم شيشه به ضخامت 50 ميلميتر، با يك‌لا كاغذ كرافت،براي لوله به قطر نامي 125 (5 اينچ).</t>
  </si>
  <si>
    <t>عايق پشم شيشه به ضخامت 50 ميلميتر، با يك‌لا كاغذ كرافت،براي لوله به قطر نامي 150 (6 اينچ).</t>
  </si>
  <si>
    <t>عايق پشم شيشه به ضخامت 50 ميلميتر، با يك‌لا كاغذ كرافت،براي لوله به قطر نامي 200 (8 اينچ).</t>
  </si>
  <si>
    <t>عايق پشم شيشه به ضخامت 50 ميلميتر، با يك‌لا كاغذ كرافت،براي لوله به قطر نامي 250 (10 اينچ).</t>
  </si>
  <si>
    <t>عايق پشم شيشه به ضخامت 50 ميلميتر، با يك‌لا كاغذ كرافت،براي لوله به قطر نامي 300 (12 اينچ).</t>
  </si>
  <si>
    <t>عايق پشم شيشه به ضخامت 50 ميليمتر، با يك‌لا كاغذ كرافت و پوشش پارچه‌اي متقال، براي لوله به قطر نامي 125 (5 اينچ).</t>
  </si>
  <si>
    <t>عايق پشم شيشه به ضخامت 50 ميليمتر، با يك‌لا كاغذ كرافت و پوشش پارچه‌اي متقال، براي لوله به قطر نامي 150 (6 اينچ).</t>
  </si>
  <si>
    <t>عايق پشم شيشه به ضخامت 50 ميليمتر، با يك‌لا كاغذ كرافت و پوشش پارچه‌اي متقال، براي لوله به قطر نامي 200 (8 اينچ).</t>
  </si>
  <si>
    <t>عايق پشم شيشه به ضخامت 50 ميليمتر، با يك‌لا كاغذ كرافت و پوشش پارچه‌اي متقال، براي لوله به قطر نامي 250 (10 اينچ).</t>
  </si>
  <si>
    <t>عايق پشم شيشه به ضخامت 50 ميليمتر، با يك‌لا كاغذ كرافت و پوشش پارچه‌اي متقال، براي لوله به قطر نامي 300 (12 اينچ).</t>
  </si>
  <si>
    <t>عايق پشم شيشه پيش ساخته با روكش آلومينيومي كارخانه‌اي، به ضخامت 25 ميليمتر، براي لوله به قطر نامي 15 (يك دوم اينچ).</t>
  </si>
  <si>
    <t>عايق پشم شيشه پيش ساخته با روكش آلومينيومي كارخانه‌اي، به ضخامت 25 ميليمتر، براي لوله به قطر نامي 20 (سه چهارم اينچ).</t>
  </si>
  <si>
    <t>عايق پشم شيشه پيش ساخته با روكش آلومينيومي كارخانه‌اي، به ضخامت 25 ميليمتر، براي لوله به قطر نامي 25 (يك اينچ).</t>
  </si>
  <si>
    <t>عايق پشم شيشه پيش ساخته با روكش آلومينيومي كارخانه‌اي، به ضخامت 25 ميليمتر، براي لوله به قطر نامي 32 (يك و يك چهارم اينچ).</t>
  </si>
  <si>
    <t>عايق پشم شيشه پيش ساخته با روكش آلومينيومي كارخانه‌اي، به ضخامت 25 ميليمتر، براي لوله به قطر نامي 40 (يك و يك دوم اينچ).</t>
  </si>
  <si>
    <t>عايق پشم شيشه پيش ساخته با روكش آلومينيومي كارخانه‌اي، به ضخامت 25 ميليمتر، براي لوله به قطر نامي 50 (2 اينچ).</t>
  </si>
  <si>
    <t>عايق پشم شيشه پيش ساخته با روكش آلومينيومي كارخانه‌اي، به ضخامت 25 ميليمتر، براي لوله به قطر نامي 65 (دو و يك دوم اينچ).</t>
  </si>
  <si>
    <t>عايق پشم شيشه پيش ساخته با روكش آلومينيومي كارخانه‌اي، به ضخامت 25 ميليمتر، براي لوله به قطر نامي 80 (3 اينچ).</t>
  </si>
  <si>
    <t>عايق پشم شيشه پيش ساخته با روكش آلومينيومي كارخانه‌اي، به ضخامت 25 ميليمتر، براي لوله به قطر نامي 100 (4 اينچ).</t>
  </si>
  <si>
    <t>عايق پشم شيشه پيش ساخته با روكش آلومينيومي كارخانه‌اي، به ضخامت 50 ميليمتر، براي لوله به قطر نامي 15 (يك دوم اينچ).</t>
  </si>
  <si>
    <t>عايق پشم شيشه پيش ساخته با روكش آلومينيومي كارخانه‌اي، به ضخامت 50 ميليمتر، براي لوله به قطر نامي 20 (سه چهارم اينچ).</t>
  </si>
  <si>
    <t>عايق پشم شيشه پيش ساخته با روكش آلومينيومي كارخانه‌اي، به ضخامت 50 ميليمتر، براي لوله به قطر نامي 25 (يك اينچ).</t>
  </si>
  <si>
    <t>عايق پشم شيشه پيش ساخته با روكش آلومينيومي كارخانه‌اي، به ضخامت 50 ميليمتر، براي لوله به قطر نامي 32 (يك و يك چهارم اينچ).</t>
  </si>
  <si>
    <t>عايق پشم شيشه پيش ساخته با روكش آلومينيومي كارخانه‌اي، به ضخامت 50 ميليمتر، براي لوله به قطر نامي 40 (يك و يك دوم اينچ).</t>
  </si>
  <si>
    <t>عايق پشم شيشه پيش ساخته با روكش آلومينيومي كارخانه‌اي، به ضخامت 50 ميليمتر، براي لوله به قطر نامي 50 (2 اينچ).</t>
  </si>
  <si>
    <t>عايق پشم شيشه پيش ساخته با روكش آلومينيومي كارخانه‌اي، به ضخامت 50 ميليمتر، براي لوله به قطر نامي 65 (دو و يك دوم اينچ).</t>
  </si>
  <si>
    <t>عايق پشم شيشه پيش ساخته با روكش آلومينيومي كارخانه‌اي، به ضخامت 50 ميليمتر، براي لوله به قطر نامي 80 (3 اينچ).</t>
  </si>
  <si>
    <t>عايق پشم شيشه پيش ساخته با روكش آلومينيومي كارخانه‌اي، به ضخامت 50 ميليمتر، براي لوله به قطر نامي 100 (4 اينچ).</t>
  </si>
  <si>
    <t>عايق پشم شيشه، به ضخامت 25 ميليمتر، با يك لا كاغذ كرافت و سيم پيچي با مفتول گالوانيزه، براي عايق كاري کانال.</t>
  </si>
  <si>
    <t>عايق پشم شيشه، به ضخامت 50 ميليمتر، با يك لا كاغذ كرافت و سيم پيچي با مفتول گالوانيزه، براي عايق كاري کانال.</t>
  </si>
  <si>
    <t>عايق پشم شيشه، به ضخامت 25 ميليمتر، با يك لا كاغذ كرافت و سيم پيچي با مفتول گالوانيزه، پوشش پارچه اي متقال، ماستيك و دو دست رنگ روغني، براي عايق كاري کانال.</t>
  </si>
  <si>
    <t>عايق پشم شيشه، به ضخامت 50 ميليمتر، با يك لا كاغذ كرافت و سيم پيچي با مفتول گالوانيزه، پوشش پارچه اي متقال، ماستيك و دو دست رنگ روغني، براي عايق كاري کانال.</t>
  </si>
  <si>
    <t>عايق نوار، براي لوله به قطر نامي 15 (يك دوم اينچ).</t>
  </si>
  <si>
    <t>عايق نوار، براي لوله به قطر نامي 20 (سه چهارم اينچ).</t>
  </si>
  <si>
    <t>عايق نوار، براي لوله به قطر نامي 25 (يك اينچ).</t>
  </si>
  <si>
    <t>عايق نوار، براي لوله به قطر نامي 32 (يك و يك چهارم اينچ).</t>
  </si>
  <si>
    <t>عايق نوار، براي لوله به قطر نامي 40 (يك و يك دوم اينچ).</t>
  </si>
  <si>
    <t>عايق نوار، براي لوله به قطر‌نامي‌50 ‌(2 اينچ).</t>
  </si>
  <si>
    <t>عايق نوار، براي لوله به قطر نامي 65 (دو و يك دوم اينچ).</t>
  </si>
  <si>
    <t>عايق نوار، براي لوله به قطر‌نامي‌80 (3 اينچ).</t>
  </si>
  <si>
    <t>عايق نوار، براي لوله به قطر‌نامي‌100 (4 اينچ).</t>
  </si>
  <si>
    <t>عايق نوار، براي لوله به قطر‌نامي‌125‌(5 اينچ).</t>
  </si>
  <si>
    <t>عايق نوار، براي لوله به قطر‌نامي‌150‌(6 اينچ).</t>
  </si>
  <si>
    <t>عایق لوله ای الاستومری به ضخامت 10 میلی متر برای لوله به قطر یک دوم اینچ</t>
  </si>
  <si>
    <t>عایق لوله ای الاستومری به ضخامت 10 میلی متر برای لوله به قطرسه چهارم  اینچ</t>
  </si>
  <si>
    <t>عایق لوله ای الاستومری به ضخامت 10 میلی متر برای لوله به قطریک اینچ</t>
  </si>
  <si>
    <t>عایق لوله ای الاستومری به ضخامت 10 میلی متر برای لوله به قطریک و یک چهارم  اینچ</t>
  </si>
  <si>
    <t>عایق لوله ای الاستومری به ضخامت 10 میلی متر برای لوله به یک و یک دوم   اینچ</t>
  </si>
  <si>
    <t>عایق لوله ای الاستومری به ضخامت 10 میلی متر برای لوله به قطردو  اینچ</t>
  </si>
  <si>
    <t>عایق لوله ای الاستومری به ضخامت 10 میلی متر برای لوله به قطردو  و یک دوماینچ</t>
  </si>
  <si>
    <t>عایق لوله ای الاستومری به ضخامت 10 میلی متر برای لوله به قطر سه   اینچ</t>
  </si>
  <si>
    <t>عایق لوله ای الاستومری به ضخامت 13 میلی متر برای لوله به قطر یک دوم   اینچ</t>
  </si>
  <si>
    <t>عایق لوله ای الاستومری به ضخامت 13 میلی متر برای لوله به قطر سه چهارم   اینچ</t>
  </si>
  <si>
    <t>عایق لوله ای الاستومری به ضخامت 13 میلی متر برای لوله به قطر  یک   اینچ</t>
  </si>
  <si>
    <t>عایق لوله ای الاستومری به ضخامت 13 میلی متر برای لوله به قطر  یک  و یک چهارم اینچ</t>
  </si>
  <si>
    <t>عایق لوله ای الاستومری به ضخامت 13 میلی متر برای لوله به قطر  یک  و یک دوم اینچ</t>
  </si>
  <si>
    <t>عایق لوله ای الاستومری به ضخامت 13 میلی متر برای لوله به قطر دو اینچ</t>
  </si>
  <si>
    <t>عایق لوله ای الاستومری به ضخامت 13 میلی متر برای لوله به قطر دو و یک دوم اینچ</t>
  </si>
  <si>
    <t>عایق لوله ای الاستومری به ضخامت 13 میلی متر برای لوله به قطر سه اینچ</t>
  </si>
  <si>
    <t>عایق لوله ای الاستومری به ضخامت 19 میلی متر برای لوله به قطر یک دوم   اینچ</t>
  </si>
  <si>
    <t>عایق لوله ای الاستومری به ضخامت 19 میلی متر برای لوله به قطر سه چهارم   اینچ</t>
  </si>
  <si>
    <t>عایق لوله ای الاستومری به ضخامت 19 میلی متر برای لوله به قطر  یک   اینچ</t>
  </si>
  <si>
    <t>عایق لوله ای الاستومری به ضخامت 19 میلی متر برای لوله به قطر  یک  و یک چهارم اینچ</t>
  </si>
  <si>
    <t>عایق لوله ای الاستومری به ضخامت 19 میلی متر برای لوله به قطر  یک  و یک دوم اینچ</t>
  </si>
  <si>
    <t>عایق لوله ای الاستومری به ضخامت 19 میلی متر برای لوله به قطر دو اینچ</t>
  </si>
  <si>
    <t>عایق لوله ای الاستومری به ضخامت 19 میلی متر برای لوله به قطر دو و یک دوم اینچ</t>
  </si>
  <si>
    <t>عایق لوله ای الاستومری به ضخامت 19 میلی متر برای لوله به قطر سه اینچ</t>
  </si>
  <si>
    <t>عایق الاستومری رولی به ضخامت 10 میلی متر</t>
  </si>
  <si>
    <t>عایق الاستومری رولی به ضخامت 13 میلی متر</t>
  </si>
  <si>
    <t>عایق الاستومری رولی به ضخامت 19 میلی متر</t>
  </si>
  <si>
    <t>اضافه بهای روکش آلومینیوم به ضخامت 130 میکرون برای عایق الاستومری به هر ضخامت (لوله ای و یا رولی)</t>
  </si>
  <si>
    <t>اضافه بهای روکش آلومینیوم به ضخامت 170 میکرون برای عایق الاستومری به هر ضخامت (لوله ای و یا رولی)</t>
  </si>
  <si>
    <t>اضافه بهای روکش آلومینیوم به ضخامت 230 میکرون برای عایق الاستومری به هر ضخامت (لوله ای و یا رولی)</t>
  </si>
  <si>
    <t>دستگاه مبرد، از نوع خنک شونده با آب به ظرفيت 12 تن.</t>
  </si>
  <si>
    <t>دستگاه مبرد، از نوع خنک شونده با آب به ظرفيت 20 تن.</t>
  </si>
  <si>
    <t>دستگاه مبرد، از نوع خنک شونده با آب به ظرفيت 35 تن.</t>
  </si>
  <si>
    <t>دستگاه مبرد، از نوع خنک شونده با آب به ظرفيت 45 تن.</t>
  </si>
  <si>
    <t>دستگاه مبرد، از نوع خنک شونده با آب به ظرفيت 55 تن.</t>
  </si>
  <si>
    <t>دستگاه مبرد، از نوع خنک شونده با آب به ظرفيت 65 تن.</t>
  </si>
  <si>
    <t>دستگاه مبرد، از نوع خنک شونده با آب به ظرفيت 75 تن.</t>
  </si>
  <si>
    <t>دستگاه مبرد، از نوع خنک شونده با آب به ظرفيت 85 تن.</t>
  </si>
  <si>
    <t>دستگاه مبرد، از نوع خنک شونده با آب به ظرفيت 95 تن.</t>
  </si>
  <si>
    <t>دستگاه مبرد، از نوع خنک شونده با آب به ظرفيت 110 تن.</t>
  </si>
  <si>
    <t>دستگاه مبرد، از نوع خنک شونده با آب به ظرفيت 120 تن.</t>
  </si>
  <si>
    <t>دستگاه مبرد، از نوع خنک شونده با آب به ظرفيت 130 تن.</t>
  </si>
  <si>
    <t>دستگاه مبرد، از نوع خنک شونده با آب به ظرفيت 140 تن.</t>
  </si>
  <si>
    <t>دستگاه مبرد، از نوع خنک شونده با آب به ظرفيت 160 تن.</t>
  </si>
  <si>
    <t>دستگاه مبرد از نوع خنک شونده با هوا، به ظرفيت 12 تن.</t>
  </si>
  <si>
    <t>دستگاه مبرد از نوع خنک شونده با هوا، به ظرفيت 20 تن.</t>
  </si>
  <si>
    <t>دستگاه مبرد از نوع خنک شونده با هوا، به ظرفيت 35 تن.</t>
  </si>
  <si>
    <t>دستگاه مبرد از نوع خنک شونده با هوا، به ظرفيت 45 تن.</t>
  </si>
  <si>
    <t>دستگاه مبرد از نوع خنک شونده با هوا، به ظرفيت 55 تن.</t>
  </si>
  <si>
    <t>دستگاه مبرد از نوع خنک شونده با هوا، به ظرفيت 65 تن.</t>
  </si>
  <si>
    <t>دستگاه مبرد از نوع خنک شونده با هوا، به ظرفيت 75 تن.</t>
  </si>
  <si>
    <t>دستگاه مبرد از نوع خنک شونده با هوا، به ظرفيت 85 تن.</t>
  </si>
  <si>
    <t>دستگاه مبرد از نوع خنک شونده با هوا، به ظرفيت 95 تن.</t>
  </si>
  <si>
    <t>دستگاه مبرد از نوع خنک شونده با هوا، به ظرفيت 110 تن.</t>
  </si>
  <si>
    <t>دستگاه مبرد از نوع خنک شونده با هوا، به ظرفيت 120 تن.</t>
  </si>
  <si>
    <t>دستگاه مبرد از نوع خنک شونده با هوا، به ظرفيت 130 تن.</t>
  </si>
  <si>
    <t>دستگاه مبرد از نوع خنک شونده با هوا، به ظرفيت 140 تن.</t>
  </si>
  <si>
    <t>دستگاه مبرد از نوع خنک شونده با هوا، به ظرفيت 160 تن.</t>
  </si>
  <si>
    <t>دستگاه كندانسور هوايي به ظرفيت 6 تن.</t>
  </si>
  <si>
    <t>دستگاه كندانسور هوايي به ظرفيت 10 تن.</t>
  </si>
  <si>
    <t>دستگاه كندانسور هوايي به ظرفيت 15 تن.</t>
  </si>
  <si>
    <t>دستگاه كندانسور هوايي به ظرفيت 20 تن.</t>
  </si>
  <si>
    <t>دستگاه كندانسور هوايي به ظرفيت 30 تن.</t>
  </si>
  <si>
    <t>دستگاه كندانسور هوايي به ظرفيت 40 تن.</t>
  </si>
  <si>
    <t>دستگاه كندانسور هوايي به ظرفيت 50 تن.</t>
  </si>
  <si>
    <t>دستگاه كندانسور هوايي به ظرفيت 60 تن.</t>
  </si>
  <si>
    <t>دستگاه كندانسور هوايي به ظرفيت 75 تن.</t>
  </si>
  <si>
    <t>دستگاه كندانسور هوايي به ظرفيت 95 تن.</t>
  </si>
  <si>
    <t>دستگاه مبرد جذبي از نوع يك اثره آب گرم به ظرفيت 100 تن.</t>
  </si>
  <si>
    <t>دستگاه مبرد جذبي از نوع يك اثره آب گرم به ظرفيت 150 تن.</t>
  </si>
  <si>
    <t>دستگاه مبرد جذبي از نوع يك اثره آب گرم به ظرفيت 200 تن.</t>
  </si>
  <si>
    <t>دستگاه مبرد جذبي از نوع يك اثره آب گرم به ظرفيت 250 تن.</t>
  </si>
  <si>
    <t>دستگاه مبرد جذبي از نوع يك اثره آب گرم به ظرفيت 300 تن.</t>
  </si>
  <si>
    <t>دستگاه مبرد جذبي از نوع يك اثره آب گرم به ظرفيت 350 تن.</t>
  </si>
  <si>
    <t>دستگاه مبرد جذبي از نوع يك اثره آب گرم به ظرفيت 400 تن.</t>
  </si>
  <si>
    <t>دستگاه مبرد جذبي از نوع يك اثره آب گرم به ظرفيت 450 تن.</t>
  </si>
  <si>
    <t>دستگاه مبرد جذبي از نوع يك اثره آب گرم به ظرفيت 500 تن.</t>
  </si>
  <si>
    <t>دستگاه مبرد جذبي از نوع يك اثره آب گرم به ظرفيت 600 تن.</t>
  </si>
  <si>
    <t>دستگاه مبرد جذبي از نوع يك اثره آب گرم به ظرفيت 700 تن.</t>
  </si>
  <si>
    <t>دستگاه مبرد جذبي از نوع يك اثره آب گرم به ظرفيت 800 تن.</t>
  </si>
  <si>
    <t>دستگاه مبرد جذبي از نوع يك اثره آب گرم به ظرفيت 1000 تن.</t>
  </si>
  <si>
    <t>دستگاه مبرد جذبي از نوع يك اثره آب گرم به ظرفيت 1200 تن.</t>
  </si>
  <si>
    <t>دستگاه مبرد جذبي از نوع يك اثره آب گرم به ظرفيت 1400 تن.</t>
  </si>
  <si>
    <t>دستگاه مبرد جذبي از نوع يك اثره بخار يا آب گرم به ظرفيت 100 تن.</t>
  </si>
  <si>
    <t>دستگاه مبرد جذبي از نوع يك اثره بخار يا آب گرم به ظرفيت 150 تن.</t>
  </si>
  <si>
    <t>دستگاه مبرد جذبي از نوع يك اثره بخار يا آب گرم به ظرفيت 200 تن.</t>
  </si>
  <si>
    <t>دستگاه مبرد جذبي از نوع يك اثره بخار يا آب گرم به ظرفيت 250 تن.</t>
  </si>
  <si>
    <t>دستگاه مبرد جذبي از نوع يك اثره بخار يا آب گرم به ظرفيت 300 تن.</t>
  </si>
  <si>
    <t>دستگاه مبرد جذبي از نوع يك اثره بخار يا آب گرم به ظرفيت 350 تن.</t>
  </si>
  <si>
    <t>دستگاه مبرد جذبي از نوع يك اثره بخار يا آب گرم به ظرفيت 400 تن.</t>
  </si>
  <si>
    <t>دستگاه مبرد جذبي از نوع يك اثره بخار يا آب گرم به ظرفيت 450 تن.</t>
  </si>
  <si>
    <t>دستگاه مبرد جذبي از نوع يك اثره بخار يا آب گرم به ظرفيت 500 تن.</t>
  </si>
  <si>
    <t>دستگاه مبرد جذبي از نوع يك اثره بخار يا آب گرم به ظرفيت 600 تن.</t>
  </si>
  <si>
    <t>دستگاه مبرد جذبي از نوع يك اثره بخار يا آب گرم به ظرفيت 700 تن.</t>
  </si>
  <si>
    <t>دستگاه مبرد جذبي از نوع يك اثره بخار يا آب گرم به ظرفيت 800 تن.</t>
  </si>
  <si>
    <t>دستگاه مبرد جذبي از نوع يك اثره بخار يا آب گرم به ظرفيت 1000 تن.</t>
  </si>
  <si>
    <t>دستگاه مبرد جذبي از نوع يك اثره بخار يا آب گرم به ظرفيت 1200 تن.</t>
  </si>
  <si>
    <t>دستگاه مبرد جذبي از نوع يك اثره بخار يا آب گرم به ظرفيت 1400 تن.</t>
  </si>
  <si>
    <t>دستگاه مبرد جذبي از نوع دو اثره بخار به ظرفيت 100 تن.</t>
  </si>
  <si>
    <t>دستگاه مبرد جذبي از نوع دو اثره بخار به ظرفيت 150 تن.</t>
  </si>
  <si>
    <t>دستگاه مبرد جذبي از نوع دو اثره بخار به ظرفيت 200 تن.</t>
  </si>
  <si>
    <t>دستگاه مبرد جذبي از نوع دو اثره بخار به ظرفيت 250 تن.</t>
  </si>
  <si>
    <t>دستگاه مبرد جذبي از نوع دو اثره بخار به ظرفيت 300 تن.</t>
  </si>
  <si>
    <t>دستگاه مبرد جذبي از نوع  دو اثره بخار به ظرفيت 350 تن.</t>
  </si>
  <si>
    <t>دستگاه مبرد جذبي از نوع  دو اثره بخار به ظرفيت 400 تن.</t>
  </si>
  <si>
    <t>دستگاه مبرد جذبي از نوع  دو اثره بخار به ظرفيت 450 تن.</t>
  </si>
  <si>
    <t>دستگاه مبرد جذبي از نوع  دو اثره بخار به ظرفيت 500 تن.</t>
  </si>
  <si>
    <t>دستگاه مبرد جذبي از نوع  دو اثره بخار به ظرفيت 600 تن.</t>
  </si>
  <si>
    <t>دستگاه مبرد جذبي از نوع  دو اثره بخار به ظرفيت 700 تن.</t>
  </si>
  <si>
    <t>دستگاه مبرد جذبي از نوع  دو اثره بخار به ظرفيت 800 تن.</t>
  </si>
  <si>
    <t>دستگاه مبرد جذبي از نوع  دو اثره بخار به ظرفيت 1000 تن.</t>
  </si>
  <si>
    <t>دستگاه مبرد جذبي از نوع  دو اثره بخار به ظرفيت 1200 تن.</t>
  </si>
  <si>
    <t>دستگاه مبرد جذبي از نوع  دو اثره بخار به ظرفيت 1400 تن.</t>
  </si>
  <si>
    <t>دستگاه مبرد جذبي از نوع شعله مستقيم به ظرفيت 100 تن.</t>
  </si>
  <si>
    <t>دستگاه مبرد جذبي از نوع شعله مستقيم به ظرفيت 150 تن.</t>
  </si>
  <si>
    <t>دستگاه مبرد جذبي از نوع شعله مستقيم به ظرفيت 200 تن.</t>
  </si>
  <si>
    <t>دستگاه مبرد جذبي از نوع شعله مستقيم به ظرفيت 250 تن.</t>
  </si>
  <si>
    <t>دستگاه مبرد جذبي از نوع شعله مستقيم به ظرفيت 300 تن.</t>
  </si>
  <si>
    <t>دستگاه مبرد جذبي از نوع شعله مستقيم به ظرفيت 350 تن.</t>
  </si>
  <si>
    <t>دستگاه مبرد جذبي از نوع شعله مستقيم به ظرفيت 400 تن.</t>
  </si>
  <si>
    <t>دستگاه مبرد جذبي از نوع شعله مستقيم به ظرفيت 450 تن.</t>
  </si>
  <si>
    <t>دستگاه مبرد جذبي از نوع شعله مستقيم به ظرفيت 500 تن.</t>
  </si>
  <si>
    <t>دستگاه مبرد جذبي از نوع شعله مستقيم به ظرفيت 600 تن.</t>
  </si>
  <si>
    <t>دستگاه مبرد جذبي از نوع شعله مستقيم به ظرفيت 700 تن.</t>
  </si>
  <si>
    <t>دستگاه مبرد جذبي از نوع شعله مستقيم به ظرفيت 800 تن.</t>
  </si>
  <si>
    <t>دستگاه مبرد جذبي از نوع شعله مستقيم به ظرفيت 1000 تن.</t>
  </si>
  <si>
    <t>دستگاه مبرد جذبي از نوع شعله مستقيم به ظرفيت 1200 تن.</t>
  </si>
  <si>
    <t>دستگاه مبرد جذبي از نوع شعله مستقيم به ظرفيت 1400 تن.</t>
  </si>
  <si>
    <t>برج خنك كننده، با بدنه از ورق آهن گالوانيزه و ظرفيت خنك كنندگي 190 ليتر آب در دقيقه.</t>
  </si>
  <si>
    <t>برج خنك كننده، با بدنه از ورق آهن گالوانيزه و ظرفيت خنك كنندگي 450 ليتر آب در دقيقه.</t>
  </si>
  <si>
    <t>برج خنك كننده، با بدنه از ورق آهن گالوانيزه و ظرفيت خنك كنندگي 760 ليتر آب در دقيقه.</t>
  </si>
  <si>
    <t>برج خنك كننده ، با بدنه از ورق آهن گالوانيزه و ظرفيت خنك كنندگي 1140 ليتر آب در دقيقه.</t>
  </si>
  <si>
    <t>برج خنك كننده، با بدنه از ورق آهن گالوانيزه و ظرفيت خنك كنندگي 1510 ليتر آب در دقيقه.</t>
  </si>
  <si>
    <t>برج خنك كننده، با بدنه از ورق آهن گالوانيزه و ظرفيت خنك كنندگي 1890 ليتر آب در دقيقه.</t>
  </si>
  <si>
    <t>برج خنك كننده، با اسكلت فلزي، به ظرفيت خنك كنندگي 2270 ليتر آب در دقيقه.</t>
  </si>
  <si>
    <t>برج خنك كننده، با اسكلت فلزي، به ظرفيت خنك كنندگي 3780 ليتر آب در دقيقه.</t>
  </si>
  <si>
    <t>برج خنك كننده، با اسكلت فلزي، به ظرفيت خنك كنندگي 5680 ليتر آب در دقيقه.</t>
  </si>
  <si>
    <t>برج خنك كننده، با اسكلت فلزي، به ظرفيت خنك كنندگي 7570 ليتر آب در دقيقه.</t>
  </si>
  <si>
    <t>برج خنك كننده، با اسكلت فلزي، به ظرفيت خنك كنندگي 9460 ليتر آب در دقيقه.</t>
  </si>
  <si>
    <t>برج خنك كننده با بدنه فايبرگلاس به ظرفيت خنك‌كنندگي 93  ليتر آب در دقيقه.</t>
  </si>
  <si>
    <t>برج خنك كننده با بدنه فايبرگلاس به ظرفيت خنك‌كنندگي 139  ليتر آب در دقيقه.</t>
  </si>
  <si>
    <t>برج خنك كننده با بدنه فايبرگلاس به ظرفيت خنك‌كنندگي 186  ليتر آب در دقيقه.</t>
  </si>
  <si>
    <t>برج خنك كننده با بدنه فايبرگلاس به ظرفيت خنك‌كنندگي 325  ليتر آب در دقيقه.</t>
  </si>
  <si>
    <t>برج خنك كننده با بدنه فايبرگلاس به ظرفيت خنك‌كنندگي 417  ليتر آب در دقيقه.</t>
  </si>
  <si>
    <t>برج خنك كننده با بدنه فايبرگلاس به ظرفيت خنك‌كنندگي 560  ليتر آب در دقيقه.</t>
  </si>
  <si>
    <t>برج خنك كننده با بدنه فايبرگلاس به ظرفيت خنك‌كنندگي 747  ليتر آب در دقيقه.</t>
  </si>
  <si>
    <t>برج خنك كننده با بدنه فايبرگلاس به ظرفيت خنك‌كنندگي 929  ليتر آب در دقيقه.</t>
  </si>
  <si>
    <t>برج خنك كننده با بدنه فايبرگلاس به ظرفيت خنك‌كنندگي 1162  ليتر آب در دقيقه.</t>
  </si>
  <si>
    <t>برج خنك كننده با بدنه فايبرگلاس به ظرفيت خنك‌كنندگي 1240  ليتر آب در دقيقه.</t>
  </si>
  <si>
    <t>دست شويي از چيني ، به ابعاد تقريبي 57×44 سانتيمتر، بدون پايه.</t>
  </si>
  <si>
    <t>دست شويي از چيني ، به ابعاد تقريبي 60×46 سانتيمتر، بدون پايه.</t>
  </si>
  <si>
    <t>دست شويي از چيني ، به ابعاد تقريبي 65×49 سانتيمتر، بدون پايه.</t>
  </si>
  <si>
    <t>دست شويي از چيني ، به ابعاد تقريبي 60×46 سانتيمتر، با پايه.</t>
  </si>
  <si>
    <t>دست شويي از چيني ، به ابعاد تقريبي 65×49 سانتيمتر، با پايه.</t>
  </si>
  <si>
    <t>توالت شرقي از چيني ، جا پادار، به ابعاد تقريبي 45×56 سانتيمتر.</t>
  </si>
  <si>
    <t>توالت غربي، با فلاش تانك از چيني ، به ابعاد تقريبي 75×46×75 سانتيمتر، سيفون سرخود، با نشيمن و درپوش لولايي و وسايل داخلي منبع به طور كامل.</t>
  </si>
  <si>
    <t>زيردوشي از جنس مواد پلیمری، به‌ابعاد تقريبي 75×75 سانتيمتر.</t>
  </si>
  <si>
    <t>سينك ظرفشويي، به ابعاد تقريبي50×100 سانتي‌متر، از فولاد زنگ ناپذير 18/8 به‌ضخامت حدود 0/7 ميليمتر، داراي يک لگن به عمق تقريبي حدود 16 سانتيمتر.</t>
  </si>
  <si>
    <t>سينك ظرفشويي، به ‌ابعاد تقريبي 50×150 سانتيمتر، از فولاد زنگ ناپذير 18/8 به‌ضخامت حدود 0/7 ميليمتر، داراي دو لگن به ‌عمق تقريبي 16 سانتيمتر و يك سيني.</t>
  </si>
  <si>
    <t>سينك ظرفشويي، به ‌ابعاد تقريبي 50×170 سانتيمتر، از فولاد زنگ ناپذير 18/8 به‌ضخامت حدود 0/7 ميليمتر، داراي دو لگن به ‌عمق تقريبي 16 سانتيمتر و دو سيني.</t>
  </si>
  <si>
    <t>فلاش تانك، به‌ظرفيت تقريبي 10 ليتر ساخته شده از مواد پلیمری گالوانيزه، شامل درپوش، شناور، سرريز، دسته و زنجير، لوله تخليه 32 ميليمتر، با بست و پيچ و مهره.</t>
  </si>
  <si>
    <t>كفشوي برنجي، با شبکه كرمه گرد يا چهارگوش به ابعاد تقریبی 10*10.</t>
  </si>
  <si>
    <t>كفشوي چدني لعابي، با شبکه چدني لعابي، به‌ابعاد تقريبي 15×15 سانتي متر، سيفون سرخود، به‌قطر 50 ميلي متر.</t>
  </si>
  <si>
    <t>کفشوی از جنس مواد پلیمری، با شبکه کرمه گرد یا چهارگوش به ابعاد تقریبی 10*10 سانتی متر</t>
  </si>
  <si>
    <t>کفشوی از جنس مواد پلیمری، با شبکه کرمه گرد یا چهارگوش به ابعاد تقریبی 15*15 سانتی متر</t>
  </si>
  <si>
    <t>کفشوی آب باران چدنی با کلاهک آشغالگیر به قطر نامی 4 اینچ</t>
  </si>
  <si>
    <t>کفشوی آب باران چدنی با کلاهک آشغالگیر به قطر نامی 6 اینچ</t>
  </si>
  <si>
    <t>شير مخلوط دست شويي كرمه، توكاسه و دو پايه، به‌قطر 15 ميليمتر، با پولك، واشر و مهره كرمه.</t>
  </si>
  <si>
    <t>شير مخلوط دست شويي كرمه، نوع ديواري، به‌قطر 15 ميليمتر، با پولك، واشر و مهره كرمه.</t>
  </si>
  <si>
    <t>شير مخلوط دست شويي كرمه، توكاسه و تك پايه،  به قطر 15 ميليمتر، با پولک، واشر و مهره کرمه.</t>
  </si>
  <si>
    <t>شير مخلوط شلنگ دار كرمه، به‌قطر 15 ميليمتر، با پولك كرمه، افشانك، قلاب و شلنگ خرطومي كرمه، به طول تقريبي 120 سانتيمتر.</t>
  </si>
  <si>
    <t>شير مخلوط كرمه دوش، به قطر 15 ميليمتر، با علم، سردوش و بست كرمه.</t>
  </si>
  <si>
    <t>شير مخلوط كرمه دوش، به قطر 15 ميليمتر، با علم سردوش، بست كرمه و يك عدد دوش كمر تلفني باسه راه تبديل مربوط كرمه.</t>
  </si>
  <si>
    <t>شیر مخلوط آرنجی ، کرمه ، بیمارستانی ، توکاسه به قطر15 میلی متر با پولک ، واشر و مهره های کرمه.</t>
  </si>
  <si>
    <t>شیر مخلوط آرنجی  کرمه ، بیمارستانی ، دیواری به قطر15 میلی متر با پولک ، واشر ، مهره های کرمه و کلیه اتصالات لازم..</t>
  </si>
  <si>
    <t>شیر مخلوط دستشویی کرمه ، توکاسه، اهرمی با شلنگ های رابط.</t>
  </si>
  <si>
    <t>شیر مخلوط ظرفشویی کرمه ، توکاسه، اهرمی با شلنگ های رابط.</t>
  </si>
  <si>
    <t>شیر مخلوط شلنگ دار کرمه ، اهرمی با پولک کرمه ، افشانک، قلاب و شلنگ خرطومی کرمه به طول تقریبی 120 سانتی متر.</t>
  </si>
  <si>
    <t>شیر مخلوط اهرمی کرمه دوش ، با علم ، سردوش و بست کرمه .</t>
  </si>
  <si>
    <t>شیر مخلوط اهرمی کرمه دوش ، با علم ، سردوش و بست کرمه و یک عدد دوش کمر تلفنی با سه راه تبدیل مربوطه..</t>
  </si>
  <si>
    <t>شیر مخلوط کرمه توکاسه تک پایه از نوع الکترونیکی همراه با منبع تغذیه از نوع باتری با تجهیزات مورد نیاز بطور کامل.</t>
  </si>
  <si>
    <t>شیر مخلوط کرمه توکاسه تک پایه از نوع الکترونیکی همراه با منبع تغذیه از نوع  برق و باتری با تجهیزات مورد نیاز بطور کامل.</t>
  </si>
  <si>
    <t>شير تكي شلنگ دار كرمه، به قطر 15 ميليمتر، با پولك، افشانك، قلاب و شلنگ خرطومي كرمه، به طول تقريبي 120 سانتيمتر.</t>
  </si>
  <si>
    <t>شير تكي دنباله بلند كرمه، به قطر 15 ميليمتر، با پولك كرمه.</t>
  </si>
  <si>
    <t>شير پيسوار كرمه، به قطر 12 ميليمتر، با مهره، پولك و لوله كرمه، به طول تقريبي 30 سانتيمتر.</t>
  </si>
  <si>
    <t>زير آب كرمه، به قطر 32 ميليمتر، براي دست شويي و ظرفشويي، با درپوش لاستيكي و زنجير.</t>
  </si>
  <si>
    <t>زير آب كرمه، به قطر 40 ميليمتر، براي دست شويي و ظرفشويي، با درپوش لاستيكي و زنجير.</t>
  </si>
  <si>
    <t>زيرآب از مواد پلیمری، به قطر 32 ميليمتر، برای دست شویی و ظرفشویی ، به انضمام درپوش لاستيكي و زنجير.</t>
  </si>
  <si>
    <t>زيرآب پلیمری به قطر 40 ميليمتر، برای دست شویی و ظرفشویی ، به انضمام درپوش لاستيكي و زنجير.</t>
  </si>
  <si>
    <t>سيفون ازمواد پلیمری، به قطر ورودي 32 ميليمتر، همراه با لوله هاي رابط.</t>
  </si>
  <si>
    <t>سيفون ازمواد پلیمری، به قطر ورودي 40 ميليمتر، همراه با لوله هاي رابط.</t>
  </si>
  <si>
    <t>سه راه پلی پرو پیلن براي سينك دولگنه، با لوله هاي رابط.</t>
  </si>
  <si>
    <t>شير شلنگي برنجي، به قطر 15 ميليمتر، با ماسوره سرشلنگ، به طور كامل.</t>
  </si>
  <si>
    <t>شير شلنگي برنجي، به قطر 20 ميليمتر، با ماسوره سرشلنگ، به طور كامل.</t>
  </si>
  <si>
    <t>شير شلنگي برنجي، به قطر 25 ميليمتر، با ماسوره سرشلنگ، به طور كامل.</t>
  </si>
  <si>
    <t>شيرشلنگي كرمه، به قطر 15 ميليمتر، با ماسوره سرشلنگ، به طور كامل.</t>
  </si>
  <si>
    <t>شير شلنگي كرمه، به قطر 20 ميليمتر، با ماسوره سرشلنگ، به طور كامل.</t>
  </si>
  <si>
    <t>شير شلنگي كرمه، به قطر 25 ميليمتر، با ماسوره سرشلنگ، به طور كامل.</t>
  </si>
  <si>
    <t>لانس آلومينيومي شيردار (با ضامن يا بدون ضامن) به طول 50 سانتيمتر و به قطر نامي 40 (يک و يک دوم اينچ)، با صافي.</t>
  </si>
  <si>
    <t>لانس آلومينيومي شيردار (با ضامن يا بدون ضامن) به طول 50 سانتيمتر و به قطر نامي 65 (دو و يک دوم اينچ)، با صافي.</t>
  </si>
  <si>
    <t>شلنگ آتش نشاني از نخ پرلون تو لاستيكي (بدون كوپلينگ)، به قطر نامي 40 (يک و يک دوم اينچ).</t>
  </si>
  <si>
    <t>شلنگ آتش نشاني از نخ پرلون تو لاستيكي (بدون كوپلينگ)، به قطر نامي 65 (دو و يک دوم اينچ).</t>
  </si>
  <si>
    <t>كوپلينگ آلومينيومي آتش نشاني، به قطر نامي 40 (يک و يک دوم اينچ)، بطور كامل.</t>
  </si>
  <si>
    <t>كوپلينگ آلومينيومي آتش نشاني، به قطر نامي 65 (دو و يک دوم اينچ)، بطور كامل.</t>
  </si>
  <si>
    <t>جعبه آتش نشاني، به ابعادتقريبي 20×65×75 سانتيمتربه ضخامت 1/5 تا 2 میلی متر ،، مجهز به قرقره دوار، يك در، قفل ايمني، جاي مخصوص كليد، با دو دست رنگ ضد زنگ و يك دست رنگ روغني ، آماده براي نصب توي كار.</t>
  </si>
  <si>
    <t>جعبه آتش نشاني دو قلو، به ابعادتقريبي 20×100×75 سانتيمتربه ضخامت 1/5 تا 2 میلی متر ،، مجهز به قرقره دوار، يك در(باز شو از دو جهت)، قفل ايمني، جاي مخصوص كليد، با دو دست رنگ ضد زنگ و يك دست رنگ روغني ، آماده براي نصب توي كار.</t>
  </si>
  <si>
    <t>جعبه آتش نشاني، به ابعاد تقريبي 20×65×75 سانتيمتر به ضخامت 1/5 تا 2 میلی متر، مجهز به قرقره دوار، يك در، قفل ايمني، جاي مخصوص كليد، با دو دست رنگ ضدز نگ و يك دست رنگ روغني، آماده براي نصب روي كار.</t>
  </si>
  <si>
    <t>جعبه آتش نشاني دو قلو، به ابعادتقريبي 20×100×75 سانتي متر ، به ضخامت 1/5 تا 2 میلی متر ،، مجهز به قرقره دوار، دو در(بازشو از دوجهت)، قفل ايمني، جاي مخصوص كليد، با دو دست رنگ ضد زنگ و يك دست رنگ روغني ، آماده براي نصب روی كار.</t>
  </si>
  <si>
    <t>جعبه آتش نشاني، به ابعاد تقريبي 20×65×75 سانتيمتر به ضخامت 1/5 تا 2 میلی متر، مجهز به هوزربل با توپی برنجی و شلنگ رابط فشار قوی ، به انضمام 20 متر شلنگ لاستیکی فشار قوی و نازل 3 حالته به قطر سه چهارم اینچ ، یک در، قفل ایمنی، جای مخصوص کلید، با دو دست رنگ ضد زنگ و یک دست رنگ روغنی ، آماده برای نصب توی کار.</t>
  </si>
  <si>
    <t>شيرفلكه برنجي دنده‌اي PN16، مخصوص آتش نشاني، ، به قطر نامي 40 (يک و يک دوم اينچ)، بدون كوپلينگ.</t>
  </si>
  <si>
    <t>شيرفلكه برنجي دنده‌اي PN16، مخصوص آتش نشاني، ، به قطر نامي 65 (دو و يک دوم اينچ)، بدون كوپلينگ.</t>
  </si>
  <si>
    <t>شیر سیامی به قطر نامی 100 (چهار اینچ) با دو ورودی 65(دو و یک دوم اینچ) با درپوش و کوپلینگ.</t>
  </si>
  <si>
    <t>شیر هیدرانت آتش نشانی ایستاده محوطه ضد یخ به قطر نامی 100 میلی متر (چهار اینچ) با یک خروجی 100 میلی متر (چهار اینچ) و دو خروجی 65 میلی متر ( دو و یک دوم اینچ) با درپوش و کوپلینگ آلومینیومی.</t>
  </si>
  <si>
    <t>شیر هیدرانت آتش نشانی ایستاده محوطه به قطر نامی 150 میلی متر (شش اینچ) با یک خروجی 100 میلی متر (چهار اینچ) و دو خروجی 65 میلی متر ( دو و یک دوم اینچ) با درپوش و کوپلینگ آلومینیومی.</t>
  </si>
  <si>
    <t>شیر کنترل خودکار شبکه اسپرینکار نوع خشک با کلیه متعلقات و کمپرسور مربوطه و تریم استاندارد و آلارم مکانیکی به قطر نامی 100 (چهار اینچ) به طور کامل.</t>
  </si>
  <si>
    <t>شیر کنترل خودکار شبکه اسپرینکار نوع خشک با کلیه متعلقات و کمپرسور مربوطه و تریم استاندارد و آلارم مکانیکی به قطر نامی 150 (شش اینچ) به طور کامل.</t>
  </si>
  <si>
    <t>آب پاش برنجی ( اسپرینکلر) به قطر نامی 12 میلی متر ( یک دوم اینچ) حبابدار با عملکرد در 68 درجه سانتیگراد</t>
  </si>
  <si>
    <t>کپسول خاموش کننده با مخلوط پودر و گاز 6 کیلو گرمی.</t>
  </si>
  <si>
    <t>کپسول خاموش کننده با مخلوط پودر و گاز 12 کیلو گرمی.</t>
  </si>
  <si>
    <t>کپسول خاموش کننده با گاز CO2  چهار کیلوگرمی</t>
  </si>
  <si>
    <t>کپسول خاموش کننده با گاز CO2  شش  کیلوگرمی</t>
  </si>
  <si>
    <t>هوزریل با توپی برنجی و شلنگ رابط فشار قوی ، به انضمام 20 متر شلنگ لاستیکی فشار قوی و نازل 3 حالته به قطر یک اینچ.</t>
  </si>
  <si>
    <t>پلوپز گازي، به ظرفيت 150 ليتر از نوع شعله غير مستقيم، با مخزن فولادي زنگ ناپذير و بدنه خارجي از فولاد زنگ ناپذير، مجهز به شير تخليه، شير پركن، مشعل، ترموكوپل، درجه تنظيم شعله و پايلوت (گيرانه).</t>
  </si>
  <si>
    <t>اجاق گاز زميني سه رديفه، به ابعاد تقريبي 55×75×75 سانتيمتر، با بدنه از فولاد زنگ ناپذير، مجهز به صفحه و مشعل چدني، شيرهاي برنجي قطع و وصل گاز، با قدرت حرارتي 28000 کيلو کالري در ساعت.</t>
  </si>
  <si>
    <t>اجاق گاز زميني چهار رديفه، به ابعاد تقريبي  55×100×100سانتيمتر، با بدنه از فولاد زنگ ناپذير، مجهز به صفحه و مشعل چدني، شيرهاي برنجي قطع و وصل گاز، با قدرت حرارتي 54400 کيلو کالري در ساعت.</t>
  </si>
  <si>
    <t>ماهيتابه گردان گازي، مخزن تابه چدني يك  پارچه، با دو تابه، بدنه  از فولاد زنگ ناپذير به ابعاد تقريبي 85×90×120 سانتيمتر، داراي مكانيزم گردان با فرمان دستي، مجهز به شير قطع سريع مخصوص گاز، ترموستات، ترموكوپل و پايلوت (گيرانه).</t>
  </si>
  <si>
    <t>سيب زميني سرخ كن گازي، به ابعاد كلي و تقريبي 85×90×60 سانتيمتر، با بدنه از فولاد زنگ ناپذير، داراي دو سبد، مجهز به ترموستات، ترموكوپل و شيرتخليه روغن.</t>
  </si>
  <si>
    <t>اجاق گازفردار رستوراني، با بدنه از فولاد زنگ ناپذير، داراي چهارشعله روباز و يك دستگاه فردرزير، مجهز به مشعلهايي با شيرهاي قطع و وصل گاز، پايلوت (گيرانه)، فر مجهز به ترموستات و ترموكوپل، به ابعاد كلي و تقريبي 85×90×90 سانتيمتر.</t>
  </si>
  <si>
    <t>اجاق گاز فردار رستوراني، از فولاد زنگ ناپذير، داراي يك صفحه چدني روغن رو (گريدل) داراي چهارشعله رو باز و يك دستگاه فردرزير، مجهز به مشعلهايي با شيرهاي قطع و وصل گاز، پايلوت (گيرانه) و فر مجهز به ترموستات و ترموكوپل، به ابعاد كلي و تقريبي 85×90×90 سانتيمتر.</t>
  </si>
  <si>
    <t>سماور گازي خودكار، داراي يك مخزن توليدآب جوش دايم به ظرفيت 220 ليتر در ساعت، با دو مخزن در طرفين هر يك، به ظرفيت تقريبي پنج ليتر، با تمام متعلقات.</t>
  </si>
  <si>
    <t>گرمخانه و دمكن برنج، نوع گازسوز، به ابعاد تقريبي 120×100×100 سانتيمتر، با اسكلت از پروفيل مجوف آهني و جدار خارجي از ورق فولاد زنگ ناپذير، با عايق بندي از پشم شيشه، داراي مشعلهاي فولادي، شير قطع و وصل گاز، ترموستات، ترموكوپل و داراي درهاي لولايي.</t>
  </si>
  <si>
    <t>گرمخانه و دمكن برنج، نوع گازسوز، به ابعاد تقريبي 120×100×200 سانتيمتر، با اسكلت از پروفيل مجوف آهني و جدار خارجي از ورق فولاد زنگ ناپذير، با عايق بندي از پشم شيشه، داراي مشعلهاي فولادي، شير قطع و وصل گاز، ترموستات، ترموكوپل و داراي درهاي لولايي.</t>
  </si>
  <si>
    <t>منقل كباب پز، گازسوز روميزي، از فولاد زنگ ناپذير، مجهز به شيرهاي قطع و وصل گاز، پايلوت (گيرانه) و سيني در زيرمشعلها براي جمع‌آوري روغن، به ابعاد كلي و تقريبي 36×56×96 سانتيمتر.</t>
  </si>
  <si>
    <t>منقل كباب پز، گازسوز پايه دار، از فولاد زنگ ناپذير، مجهز به شيرهاي قطع و وصل گاز، پايلوت (گيرانه) و سيني در زير مشعلها براي جمع‌آوري روغن، به ابعاد كلي و تقريبي 85×56×96 سانتيمتر.</t>
  </si>
  <si>
    <t>ماشين چرخ گوشت برقي نمره 22 روميزي، با سيني و كاسه گوشت از ورق فولاد زنگ ناپذير.</t>
  </si>
  <si>
    <t>ماشين چرخ گوشت برقي نمره 32 روميزي، با سيني و كاسه گوشت از ورق فولاد زنگ ناپذير.</t>
  </si>
  <si>
    <t>ماشين اره استخوان بر برقي، نوع روميزي، با موتوري به قدرت حداقل 0/25 کيلو وات.</t>
  </si>
  <si>
    <t>ماشين اره استخوان بر برقي، نوع پايه دار، با موتوري به قدرت حداقل 0/75 کيلو وات.</t>
  </si>
  <si>
    <t>ماشين برقي خردكن غذا، مجهز به سيستم ايمني، با موتوري به قدرت حداقل 0/25 کيلو وات.</t>
  </si>
  <si>
    <t>ماشين رنده و سبزي خردكن برقي، مجهز به سيستم ايمني، با موتوري به قدرت حداقل 0/25 کيلو وات.</t>
  </si>
  <si>
    <t>ماشين سيب زميني خلال كن برقي، داراي موتوري به قدرت حداقل 0/25 کيلو وات، با تمام وسايل استاندارد.</t>
  </si>
  <si>
    <t>ماشين سيب زميني پوست كن برقي، به ظرفيت 10 تا 15 كيلوگرم در هر مرتبه (1 تا 3 دقيقه)  از نوع ايستاده، با موتوري به قدرت حداقل 0/25 کيلو وات.</t>
  </si>
  <si>
    <t>ماشين مخلوط كن برقي به ظرفيت 20 ليتر، با لگن از فولاد زنگ ناپذير و سيستم تغييرسرعت و سه عدد بهمزن مختلف، به قدرت حداقل 55/0 کيلو وات.</t>
  </si>
  <si>
    <t>ماشين برش اغذيه برقي (ورقه كن)، با تيغه برش به قطر 25 سانتيمتر، بدنه آلومينيومي آنودايز شده و موتوري به قدرت حداقل 35/0 کيلو وات و مكانيزم تنظيم ضخامت برش.</t>
  </si>
  <si>
    <t>ماشين ظرفشويي برقي خودكار، با بدنه اي از فولاد زنگ ناپذير، مجهز به گرمكن برقي و پمپ شستشو، كنترلهاي لازم با تسمه نقاله، به ظرفيت تقريبي 200 سبد(50 ×50 سانتيمتر) درساعت و موتوري با قدرت حداقل 15/1 کيلو وات.</t>
  </si>
  <si>
    <t>ماشين ظرفشويي برقي خودكار، با بدنه اي از فولاد زنگ ناپذير، مجهز به گرمكن برقي و پمپ شستشو، كنترلهاي لازم با تسمه نقاله، به ظرفيت تقريبي 100 سبد(50 ×50 سانتيمتر) درساعت و موتوري با قدرت حداقل 0/75 کيلو وات.</t>
  </si>
  <si>
    <t>ماشين ظرفشويي برقي نيمه خودكار، با بدنه اي از فولاد زنگ ناپذير، مجهز به گرمكن برقي، پمپ شستشو و كنترلهاي لازم، به ظرفيت تقريبي 50 سبد (50 ×50 سانتيمتر) در ساعت.</t>
  </si>
  <si>
    <t>يخچال ايستاده چهار در، با روكش داخلي از ورق آلومينيوم و خارجي (قابل رويت) از ورق فولاد زنگ ناپذير، مجهز به كمپرسور و كندانسورهوايي و كنترلهاي لازم، به ابعاد كلي و تقريبي 205×80×170 سانتيمتر.</t>
  </si>
  <si>
    <t>فريزر شش در، بابدنه خارجي (قابل رويت) از ورق فولادزنگ ناپذير، مجهز به كمپرسور و كندانسور هوايي و كنترلهاي لازم، به ابعاد كلي و تقريبي 90×75×170 سانتيمتر.</t>
  </si>
  <si>
    <t>بطري سردكن با درهاي كشويي، با بدنه خارجي (قابل رويت) از ورقه فولاد زنگ ناپذير، مجهز به كمپرسور و كندانسور هوايي و كنترلهاي لازم به ابعاد كلي و تقريبي 110×75×160 سانتيمتر.</t>
  </si>
  <si>
    <t>ماشين يخ سازي، به ظرفيت نامي 200 كيلوگرم در 24 ساعت، با مخزني به گنجايش 200 كيلوگرم.</t>
  </si>
  <si>
    <t>ماشين يخ سازي، به ظرفيت نامي 100 كيلوگرم در 24 ساعت، با مخزني به گنجايش 150 كيلوگرم.</t>
  </si>
  <si>
    <t>سردخانه، با حجم داخلي 10 تا 15 مترمكعب.</t>
  </si>
  <si>
    <t>سردخانه، با حجم داخلي بيش از 15 تا20 مترمكعب.</t>
  </si>
  <si>
    <t>سردخانه، با حجم داخلي بيش از 20 تا30 مترمكعب.</t>
  </si>
  <si>
    <t>هود مركزي سقفي يا ديواري، ساخته شده از ورق آلومينيوم آنودايزشده به ضخامت يك ميليمتر، با اسكلت از پروفيل آهني مجوف، مجهز به فيلترهاي چربي گيرآلومينيومي به ضخامت 5 سانتيمتر، قابل تعويض و شستشوبا سطح حداقل 0/25 مترمربع به ازاي هر مترمربع از سطح بخارگير هود،</t>
  </si>
  <si>
    <t>ميزكار، با رويه فولاد زنگ ناپذير 18/8 به ضخامت 1/25 ميليمتر، كه از زير به وسيله نئوپان تقويت و صداگيري شده است، داراي پايه هاي پروفيل 4×4 سانتيمتر از فولاد زنگ ناپذير قابل تنظيم، به عرض 65 و ارتفاع 85 سانتيمتر با يك طبقه مشبك گالوانيزه در زير. در ميزهاي ديواري رويه سمت ديوار بايد حداقل 5 سانتيمتر لبه داشته باشد.</t>
  </si>
  <si>
    <t>ميزكار، با رويه اي از چوب جنگلي به ضخامت كلي تا 5 سانتيمتر، داراي پايه هاي پروفيل 4×4 سانتيمتر از فولاد زنگ ناپذير قابل تنظيم، به عرض 65 و ارتفاع 85 سانتيمتر، با يك طبقه مشبك گالوانيزه در زير.</t>
  </si>
  <si>
    <t>كشوي ميز از ورق فولاد زنگ ناپذير دو جداره، با قاب كشو به ابعاد 12×50 سانتيمتر و جعبه كشو به عمق 50 سانتيمتر، با دستگيره، ريل و قرقره بلبرينگي.</t>
  </si>
  <si>
    <t>تخته ساطور، از چوب سخت جنگلي به ابعاد30×50×50 سانتيمتر، كه به وسيله پيچ و مهره قطعات چوب به يگديگر محكم شده و روي چهار پايه فلزي از پروفيل 5×5 فولاد زنگ ناپذير قرار گرفته است، به ارتفاع كلي 85 سانتيمتر.</t>
  </si>
  <si>
    <t>ميز لگن دار، به ابعاد كلي و تقريبي 65×240×85 سانتيمتر، داراي دولگن پرس شده به ابعاد تقريبي هر لگن 46×60×30 سانتيمتر، كه رويه ميز داراي شيارهاي برجسته براي جلوگيري از جمع شدن آب باشد.</t>
  </si>
  <si>
    <t>ميز لگن دار، با پايه‌هاي فلزي، به ابعادكلي و تقريبي 65×180×85 سانتيمتر، داراي دولگن پرس شده به ابعاد تقريبي هر لگن 46×60×30 سانتيمتر، كه رويه ميز داراي شيارهاي برجسته براي جلوگيري از جمع شدن آب باشد.</t>
  </si>
  <si>
    <t>تانك شستشوي سبزي و سيب زميني لبه دار، با بدنه اي از فولاد زنگ ناپذير و گوشه‌هاي گرد به شكل پرس شده، داراي زيرآب، سرريز و صافي به عمق 30 سانتيمتر، به ابعادكلي و تقريبي 85×65×120 سانتيمتر، داراي پايه هاي فلزي از پروفيل 4×4 سانتيمتر از فولاد زنگ ناپذير.</t>
  </si>
  <si>
    <t>شبكه ديگ شوي، شامل يك صفحه به ابعاد 80×120 سانتيمتر، متشکل از ناوداني‌هاي 5×5 سانتيمتر از فولاد زنک ناپذير که با فاصله 5 سانتيمتري قرار گرفته است.</t>
  </si>
  <si>
    <t>قفسه نگهداري ديگ، چهار طبقه، متشكل از ناودانيهاي 3×5 سانتيمتر از فولاد زنگ ناپذير، كه در كلافي از فولاد زنگ ناپذير مستحكم شده است. ناودانيها به فاصله 5 سانتيمتر، از يكديگر قرار دارند، پايه‌هاي قفسه نبشي 5×5 سانتيمتر، از فولاد زنگ ناپذير، ابعاد كلي و تقريبي قفسه 60×100×200 سانتيمتر است.</t>
  </si>
  <si>
    <t>قفسه نگهداري ظروف تميز، چهار طبقه از ورق فولاد زنگ ناپذير يك ميليمتري، كه لبه هاي آن از چهار طرف به داخل خم شده است و داراي چهار عدد نبشي 5×5 سانتيمتري از ورق 1/25 ميليمتري فولاد زنگ ناپذير است، به ابعاد كلي و تقريبي 92×42×200 سانتيمتر.</t>
  </si>
  <si>
    <t>قفسه سيخ كباب، داراي شش طبقه، از ورق فولاد زنگ ناپذير كه از يک طرف براي قراردادن سيخ باز است، به ابعاد كلي و تقريبي 40×60×50 سانتيمتر.</t>
  </si>
  <si>
    <t>محفظه نگهداري از حبوبات، به شكل مكعب، كه ابعاد كلي و تقريبي 60×60×70 سانتيمتر از ورق فولاد زنگ ناپذير يك ميليمتري و داراي يك عدد در، در قسمت فوقاني و چهار چرخ لاستيكي در زير است.</t>
  </si>
  <si>
    <t>حوضچه چلو صاف كن، به ابعاد كلي و تقريبي 75×85×170 سانتيمتر از فولاد زنگ ناپذير و لگن از فولاد زنگ ناپذير به عمق 25 سانتيمتر است كه در تمام طول اسكلت داراي سوراخي در گوشه به قطر دو و يك دوم اينچ، با زيرآب، سيفون و يك شبكه در قسمت پاياني از فولاد زنگ ناپذير و قابل برداشت.</t>
  </si>
  <si>
    <t>لگن متحرك، تشكيل شده از يك لگن از فولاد زنگ ناپذير به ابعاد كلي و تقريبي 30×46×60 سانتيمتر، داراي زيرآب و درپوش كه به روي پايه‌هايي از فولاد زنگ ناپذير نصب شده و داراي چهار چرخ لاستيكي مي‌باشد كه دو عددآن مجهز به ترمز است.</t>
  </si>
  <si>
    <t>ترولي حمل غذا و ظروف، به ابعاد كلي و تقريبي50×85×90 سانتيمتر از ورق فولاد زنگ ناپذير به ضخامت يك ميليمتر، با كلاف بندي و پايه هاي لوله اي از فولاد زنگ ناپذير، داراي چهار عدد چرخ لاستيكي كه دو عددآن مجهز به ترمز است.</t>
  </si>
  <si>
    <t>ترولي گرم براي حمل و نگهداري غذاي گرم، به ابعاد كلي و تقريبي 90×55×105 سانتيمتر با بدنه خارجي از ورق فولاد زنگ ناپذير يك ميليمتري، داراي چهار عدد لگنچه سلف سرويس دردار به عمق 15 تا20 سانتيمتر، دو عدد يك يكم ودو عدد يك دوم در قسمت بالايي و لگنچه اي با درهاي كشويي در قسمت پايين، مجهز به المنت حرارتي خشك، به ظرفيت دو كيلووات، ترموستات و كليد خاموش و روشن كننده دستگاه، جداره ها كلا عايق حرارتي شده. ترولي داراي چهار چرخ لاستيكي است كه دو عددآن مجهز به ترمزمي باشد.</t>
  </si>
  <si>
    <t>كانتر سيني و قاشق و چنگال، با رويه اي از ورق فولاد زنگ ناپذير 18/8 به ضخامت 1/25 ميليمتر و به ابعاد كلي و تقريبي 160×110×80 سانتيمتر، كه داراي يك طبقه براي قراردادن سيني و همچنين دو طبقه براي نگهداري كارد، قاشق و چنگال است. كانتر به طور كامل از قابهاي فلزي دکوراتيو شده است.</t>
  </si>
  <si>
    <t>كانتر ساده، با رويه تقويت شده و طبقه مياني و كف از فولاد زنگ ناپذير 18/8 به ضخامت 1/25 ميليمتر، كلاف بندي، پايه ها، جدارها و درهاي كشويي دوجداره كلا از فولادزنگ ناپذير يك ميليمتري، به ابعاد كلي و تقريبي 85×80×180 سانتيمتر، جبهه و تمام كانتر از قابهاي فلزي دکوراتيو شده است.</t>
  </si>
  <si>
    <t>كانترساده، بدون در با رويه تقويت شده و طبقه مياني و كف از فولاد زنگ ناپذير 18/8 به ضخامت 1/25 ميليمتر، كلاف بندي، پايه ها و جدارها فولاد زنگ ناپذير يك ميليمتري ابعاد كلي و تقريبي85×80×180 سانتيمتراست، جبهه و تمام كانتر از قابهاي فلزي دكوراتيو شده است.</t>
  </si>
  <si>
    <t>كانتر زير سماوري، با رويه تقويت شده و طبقه مياني و كف از فولاد زنگ ناپذير 18/8 به ضخامت 1/25 ميليمتر، كلاف بندي، پايه ها، جدارها و درهاي كشويي دوجداره، كلا از فولاد زنگ ناپذير 18/8 به ضخامت يك ميليمتر، به ابعاد كلي و تقريبي85×80×180 سانتيمتر است، جبهه و تمام كانتر از قابهاي فلزي دكوراتيو شده و مجهز به يك تشتك شبكه دارآب رو به عرض 15 سانتيمتر است، به طوري كه آب اضافي سماور از طريق شبكه به فاضلاب مرتبط شود.</t>
  </si>
  <si>
    <t>كانتر گرم روبسته، با رويه صاف و تقويت شده با طبقات مشبك از فولاد زنگ ناپذير 18/8 به ضخامت 1/25 ميليمتر، كلاف بندي، پايه ها، جدارها و درهاي كشويي دو جداره عايق شده، كلا از فولاد زنگ ناپذير 18/8 به ضخامت يك ميليمتر، گرمايش با المنت حرارتي خشك از فولاد زنگ ناپذير به قدرت حداقل سه كيلو وات، با كنترل ترموستاتيك و با كليدقطع و وصل، چراغ سيگنال، به ابعاد كلي و تقريبي85×80×180 سانتيمتر، جبهه و تمام كانتر از قابهاي فلزي دكوراتيو شده است.</t>
  </si>
  <si>
    <t>كانترگرم (بن ماري)، با رويه تقويت شده براي تشتک آب‌ گرم و بدنه از فولاد زنگ ناپذير 18/8 به ضخامت 1/25 ميليمتر، كلاف بندي، پايه ها، جدارها و درهاي كشويي دو جداره عايق شده، كلا از فولاد زنگ ناپذير 18/8 به ضخامت يك ميليمتر، بايك وان آب گرم عايق شده در سطح بالا از ورق فولاد زنگ ناپذير 18/8 به ضخامت 1/25 ميليمتر، داراي ظرفهاي خوراک با ابعاد متفاوت، كه به وسيله المنتهاي حرارتي از نوع آبي گرم ميشود و در قسمت زيرين كانتر، قفسه‌اي مجهز به درهاي كشويي و المنتهاي برقي حداقل سه كيلووات. كانتر مجهز به ترموستات، كليد قطع و وصل، شير شناور، سرريز و تخليه است. قسمتهاي قابل رويت كانتر از ورق فولاد زنگ ناپذير 18/8 به ضخامت يك ميليمتر و به ابعاد كلي 85×80×180 سانتيمتر، جبهه و نماي كانتر از قابهاي فلزي دكوراتيو شده است.</t>
  </si>
  <si>
    <t>كانتر سرد (يخچالي)، با رويه صاف از ورق فولاد زنگ ناپذير 18/8 به ضخامت 1/25 ميليمتر، با محفظه دو جداره عايق شده (با پلاستوفوم) و درهاي مخصوص يخچالي (با لولا و يراق آلات مخصوص)، جدارهاي داخل و خارج با كلاف بندي، پايه ها و طبقه هاي مشبك داخل، كلا از فولاد زنگ ناپذير مجهز به ماشين آلات برودتي، با كندانسور هوايي به قدرت حداقل 15/0 کيلو وات و كنترلهاي مورد لزوم، به ابعاد كلي و تقريبي 85×80×180 سانتيمتر.</t>
  </si>
  <si>
    <t>كانتر سرد (يخچالي)، با رويه صاف از ورق فولاد زنگ ناپذير 18/8 به ضخامت 1/25 ميليمتر، با محفظه دو جداره عايق شده (با پلاستوفوم) با درهاي مخصوص يخچالي (با لولا و يراق آلات مخصوص)، جدارهاي داخل و خارج با كلاف بندي، پايه هاو طبقه هاي مشبك داخل، كلا از فولاد زنگ ناپذير، مجهز به ماشين آلات برودتي، با كندانسور هوايي به قدرت حداقل 15/0 کيلووات و كنترلهاي مورد لزوم، به ابعاد كلي و تقريبي 85×80×180 سانتيمتر و مجهز به تشتک سرد شونده از ورق فولاد زنگ ناپذير 18/8 به ضخامت 1/25 ميليمتر، به ابعاد تقريبي 15×50×110 سانتيمتر و عايق شده، با ماشينهاي برودتي مستقل به قدرت حداقل 15/0 کيلووات و كنترلهاي لازم.</t>
  </si>
  <si>
    <t>كانتر صندوق، با رويه از فولاد زنگ ناپذير 18/8 به ضخامت 1/25 ميليمتر، داراي يك عدد كشوي قفل‌دار مناسب، براي استفاده يك دستگاه ماشين صندوق به ابعاد كلي و تقريبي 85×40×130 سانتيمتر، به شكل L و كلا از ورق فولاد زنگ ناپذير و جبهه دكوراتيو.</t>
  </si>
  <si>
    <t>رف روي سلف سرويس، شامل پايه از پروفيل فولادي زنگ ناپذير، داراي يك شاخك كه روي آن يك طبقه از فولاد زنگ ناپذير به عرض 25 سانتيمتر، به طور افقي قرار دارد.</t>
  </si>
  <si>
    <t>ديواره حفاظ شيشه‌اي، براي تعبيه در جلوي رف، با بستهاي لازم به ضخامت هشت ميليمتر.</t>
  </si>
  <si>
    <t>ريل هدايت سيني از ورق فولاد زنگ ناپذير، كه سه عدد برآمدگي در طول ريل تعبيه شده و به وسيله گونياهايي از فولاد زنگ ناپذير به بدنه كانترها متصل است.</t>
  </si>
  <si>
    <t>نرده هدايت مشتري، به ارتفاع 90 سانتيمتر، ساخته شده از لوله‌هاي فولادي زنگ ناپذير قائم كه در پايه‌هاي چدني مدور تراش شده جاسازي و استوار گشته است. لوله‌هاي قائم در فاصله‌هاي 120 سانتيمتري، به وسيله زنجيرهاي دكوراتيو به يكديگر متصل شده است.</t>
  </si>
  <si>
    <t>ترازوي باسكولي، به ظرفيت 200 كيلوگرم، با صفحه تخت و وزنه جدا، ساخت داخل.</t>
  </si>
  <si>
    <t>ترازوي باسكولي، به ظرفيت 500 كيلوگرم، باصفحه تخت و وزنه جدا، ساخت داخل.</t>
  </si>
  <si>
    <t>كابينت زميني، با بدنه ساخته شده از آهن رنگ شده، به ضخامت حداقل يك ميليمتر، رويه كابينت از ورق فولادي زنگ ناپذير 18/8 به ضخامت 1/25 ميليمتر، با لبه‌اي در قسمت عقب كه به طور يكپارچه از زير تقويت و صداگيري شده است. رويه درهاي دو جداره كابينت از قطعات كشيده شده فولاد زنگ ناپذير 18/8 به ضخامت حداقل يك ميليمتر است. درها به وسيله لولاهاي فلزي به بدنه متصل بوده و داراي دستگيره است. كابينت داراي طبقه مياني قابل تنظيم و از فولاد زنگ ناپذير 18/8 به ضخامت 1/25 ميليمتر و داراي پايه هاي قابل تنظيم جوش شده به ريلهاي تقويتي زير است، عمق كلي 65 سانتيمتر و ارتفاع آن 85 سانتيمتر است.</t>
  </si>
  <si>
    <t>كابينت ديواري، با بدنه ساخته شده از ورق آهن رنگ شده به ضخامت يك ميليمتر، با رويه، درهاي دو جداره از فولاد كشيده شده زنگ ناپذير 18/8 به ضخامت يك ميليمتر، كه به وسيله لولاهاي فلزي به بدنه متصل است و داراي يك طبقه مياني قابل تنظيم از فولاد زنگ ناپذير 18/8 به ضخامت 1/25 ميليمتر است، كابينت به عمق 30 و ارتفاع 60 سانتيمتر است.</t>
  </si>
  <si>
    <t>كابينت زميني، ساخته شده از ورق فولادي گالوانيزه، با يك دست رنگ روغني و يا ورق فولادي سياه با دو دست رنگ ضدزنگ و يك دست رنگ روغني، به ضخامت يك ميليمتر، با رويه اي از نئوپان 18 ميليمتري و روكش از فرميكاي استخواني، كابينت به عمق 50 سانتيمتر و ارتفاع 85 سانتيمتر است.</t>
  </si>
  <si>
    <t>دستگاه سختي گير با كنترل دستي، به قدرت تصفيه 30000 گرين و جريان آب 26 ليتر در دقيقه.</t>
  </si>
  <si>
    <t>دستگاه سختي گير با كنترل دستي، به قدرت تصفيه 60000 گرين و جريان آب 45 ليتر در دقيقه.</t>
  </si>
  <si>
    <t>دستگاه سختي گير با كنترل دستي، به قدرت تصفيه 100000 گرين و جريان آب 83 ليتر در دقيقه.</t>
  </si>
  <si>
    <t>دستگاه سختي گير با كنترل دستي، به قدرت تصفيه 200000 گرين و جريان آب 120 ليتر در دقيقه.</t>
  </si>
  <si>
    <t>دستگاه سختي گير با كنترل دستي، به قدرت تصفيه 270000 گرين و جريان آب  از 120 تا 190 ليتر در دقيقه.</t>
  </si>
  <si>
    <t>دستگاه سختي گير با كنترل دستي، به قدرت تصفيه 360000 گرين و جريان آب 190 ليتر در دقيقه.</t>
  </si>
  <si>
    <t>دستگاه سختي گير با كنترل دستي، به قدرت تصفيه 450000 گرين و جريان آب از 190 تا 320 ليتر در دقيقه.</t>
  </si>
  <si>
    <t>دستگاه سختي گير با كنترل دستي، به قدرت تصفيه 630000 گرين و جريان آب از 320 تا 420 ليتر در دقيقه.</t>
  </si>
  <si>
    <t>دستگاه سختي گير با كنترل دستي، به قدرت تصفيه 840000 گرين و جريان آب از 450 تا 490 ليتر در دقيقه.</t>
  </si>
  <si>
    <t>دستگاه سختي گير با كنترل دستي، به قدرت تصفيه 1110000 گرين و جريان آب 490 ليتر در دقيقه.</t>
  </si>
  <si>
    <t>دستگاه سختي گير با كنترل نيمه خودکار، به قدرت تصفيه 30000 گرين و جريان آب 26 ليتر در دقيقه.</t>
  </si>
  <si>
    <t>دستگاه سختي گير با كنترل نيمه خودکار، به قدرت تصفيه 60000 گرين و جريان آب 45 ليتر در دقيقه.</t>
  </si>
  <si>
    <t>دستگاه سختي گير با كنترل نيمه خودکار، به قدرت تصفيه 100000 گرين و جريان آب 83 ليتر در دقيقه.</t>
  </si>
  <si>
    <t>دستگاه سختي گير با كنترل نيمه خودکار، به قدرت تصفيه 200000 گرين و جريان آب 120 ليتر در دقيقه.</t>
  </si>
  <si>
    <t>دستگاه سختي گير با كنترل نيمه خودکار، به قدرت تصفيه 270000 گرين و جريان آب از 120 تا 190 ليتر در دقيقه.</t>
  </si>
  <si>
    <t>دستگاه سختي گير با كنترل نيمه خودکار، به قدرت تصفيه 360000 گرين و جريان آب 190 ليتر در دقيقه.</t>
  </si>
  <si>
    <t>دستگاه سختي گير با كنترل نيمه خودکار، به قدرت تصفيه 450000 گرين و جريان آب از 190 تا 320 ليتر در دقيقه.</t>
  </si>
  <si>
    <t>دستگاه سختي گير با كنترل نيمه خودکار، به قدرت تصفيه 630000 گرين و جريان آب از 320 تا 420 ليتر در دقيقه.</t>
  </si>
  <si>
    <t>دستگاه سختي گير با كنترل نيمه خودکار، به قدرت تصفيه 840000 گرين و جريان آب از 450 تا 490 ليتر در دقيقه.</t>
  </si>
  <si>
    <t>دستگاه سختي گير با كنترل نيمه خودکار، به قدرت تصفيه 1110000 گرين و جريان آب 490 ليتر در دقيقه.</t>
  </si>
  <si>
    <t>مخزن تحت فشار، ساخته شده از ورق فولادي گالوانيزه، به ابعاد و ضخامت تعيين شده درنقشه‌ها و مشخصات، شامل بوشن و فلنج به تعداد كافي، همراه با پايه‌هاي مربوط.</t>
  </si>
  <si>
    <t>مخزن باز (اتمسفريک)، ساخته شده از ورق فولادي گالوانيزه، به ابعاد و ضخامت تعيين شده درنقشه‌ها و مشخصات، شامل بوشن و فلنج به تعداد كافي، همراه با پايه‌هاي مربوط.</t>
  </si>
  <si>
    <t>مخزن گازوييل، ساخته شده از ورق آهن سياه به ابعاد و ضخامت تعيين شده در نقشه ها و مشخصات، با يك دست رنگ ضد زنگ، و دولا گوني و سه قشر قير براي مخازن دفني، با يك دست رنگ ضد زنگ و دو دست رنگ اكليل براي مخازن زميني، شامل پايه و دريچه بازديد و بوشنهاي لازم.</t>
  </si>
  <si>
    <t>كويل، ساخته شده با لوله مسي بدون درز، براي نصب داخل مخازن آب گرم، اتصال فلنجي، به ظرفيت حرارتي مشخص شده در جدول مشخصات، به انضمام فلنج، واشر و پيچ و مهره لازم.</t>
  </si>
  <si>
    <t>مبدل، با سطح حرارتي 23/0 متر مربع (5/2 فوت مربع) و قطر پوسته 100 ميليمتر.</t>
  </si>
  <si>
    <t>مبدل، با سطح حرارتي 74/0 متر مربع (8 فوت مربع) و قطر پوسته 150 ميليمتر.</t>
  </si>
  <si>
    <t>مبدل، با سطح حرارتي 39/1 متر مربع (15 فوت مربع) و قطر پوسته 200 ميليمتر.</t>
  </si>
  <si>
    <t>مبدل، با سطح حرارتي51/2 متر مربع (27 فوت مربع) و قطر پوسته 250 ميليمتر.</t>
  </si>
  <si>
    <t>مبدل، با سطح حرارتي 67/5 متر مربع (61 فوت مربع) و قطر پوسته 300 ميليمتر.</t>
  </si>
  <si>
    <t>مبدل، با سطح حرارتي 71/7 متر مربع (83 فوت مربع) و قطر پوسته 350 ميليمتر.</t>
  </si>
  <si>
    <t>مبدل، با سطح حرارتي94/9 متر مربع (107 فوت مربع) و قطر پوسته 400 ميليمتر.</t>
  </si>
  <si>
    <t>مبدل، با سطح حرارتي 98/11 متر مربع (129 فوت مربع) و قطر پوسته 450 ميليمتر.</t>
  </si>
  <si>
    <t>مبدل، با سطح حرارتي 79/15 متر مربع (170 فوت مربع) و قطر پوسته 500 ميليمتر.</t>
  </si>
  <si>
    <t>بست، آويز يا تکيه گاه فولادي، براي نگهداشتن لوله، کانال و دستگاه‌ها، ساخته شده از تسمه، ميل‌گرد، نبشي، ناوداني، پروفيلهاي مختلف و مانند آن، همراه با پيچ و مهره‌ و اتصالات لازم، يك دست رنگ ضد زنگ و يك دست رنگ روغني، طبق نقشه ها و مشخصات.</t>
  </si>
  <si>
    <t>بست، آويز يا تکيه گاه آلومينيومي، براي نگهداشتن لوله، کانال و دستگاه‌ها، ساخته شده از تسمه و ساير پروفيلها، همراه با پيچ و مهره‌ و اتصالات لازم، طبق نقشه ها و مشخصات.</t>
  </si>
  <si>
    <t>تكيه گاه،  آويز يا بست براي لوله ها، شامل غلطك چدني و پايه از نبشي يا ناوداني باميل‌گرد، پيچ و مهره و اتصالات لازم،  با يك دست رنگ ضد زنگ و يك دست رنگ روغني.</t>
  </si>
  <si>
    <t>لوله فولادي سياه درزدار.</t>
  </si>
  <si>
    <t>لوله فولادي سياه بدون درز.</t>
  </si>
  <si>
    <t>لوله فولادي گالوانيزه.</t>
  </si>
  <si>
    <t>لوله چدني فاضلابي.</t>
  </si>
  <si>
    <t>قطعات اتصال چدني فاضلابي.</t>
  </si>
  <si>
    <t>لوله پي.وي.سي.</t>
  </si>
  <si>
    <t>قطعات اتصال پي.وي.سي.</t>
  </si>
  <si>
    <t>لوله آزبست سيمان فاضلابي.</t>
  </si>
  <si>
    <t>لوله آزبست سيمان فاضلابي ضد سولفات.</t>
  </si>
  <si>
    <t>لوله مسي.</t>
  </si>
  <si>
    <t>رادياتور فولادي.</t>
  </si>
  <si>
    <t>رادياتورآلومينيومي.</t>
  </si>
  <si>
    <t>ورق گالوانيزه.</t>
  </si>
  <si>
    <t>عايق پشم شيشه با كاغذ كرافت به ضخامت 25 ميليمتر.</t>
  </si>
  <si>
    <t>عايق پشم شيشه با كاغذ كرافت به ضخامت 50 ميليمتر.</t>
  </si>
  <si>
    <t>لوله های فولادی</t>
  </si>
  <si>
    <t>هواکش</t>
  </si>
  <si>
    <t xml:space="preserve">کولرآبی </t>
  </si>
  <si>
    <t>وسایل آتش نشانی</t>
  </si>
  <si>
    <t>لوازم آشپزخانه</t>
  </si>
  <si>
    <t xml:space="preserve">لوله کشی فاضلاب  درZONE Z,Y </t>
  </si>
  <si>
    <t>صورتجلسه شماره: 3</t>
  </si>
  <si>
    <t>صورتجلسه شماره: 4</t>
  </si>
  <si>
    <t>صورتجلسه شماره: 5</t>
  </si>
  <si>
    <t>صورتجلسه شماره: 6</t>
  </si>
  <si>
    <t>صورتجلسه شماره: 7</t>
  </si>
  <si>
    <t>عملیات انجام گرفته در پشت بام ZONE Z1</t>
  </si>
  <si>
    <t>عملیات انجام گرفته در پشت بام ZONE Z2</t>
  </si>
  <si>
    <t>عملیات انجام گرفته درپشت بام ZONE Z1</t>
  </si>
  <si>
    <t>عملیات انجام گرفته درپشت بام ZONE Z2</t>
  </si>
  <si>
    <t>صورتجلسه شماره: 8</t>
  </si>
  <si>
    <t>صورتجلسه شماره: 9</t>
  </si>
  <si>
    <t>صورتجلسه شماره: 10</t>
  </si>
  <si>
    <t xml:space="preserve"> ستونهای طبقه زیرزمین   ZONE Z ,Y</t>
  </si>
  <si>
    <t>صورتجلسه شماره: 11</t>
  </si>
  <si>
    <t>صورتجلسه شماره:12</t>
  </si>
  <si>
    <t>صورتجلسه شماره:13</t>
  </si>
  <si>
    <t>عملیات انجام گرفته در سقف دوم ZONE Z1</t>
  </si>
  <si>
    <t>عملیات انجام گرفته در سقف دوم ZONE Z2</t>
  </si>
  <si>
    <t>عملیات انجام گرفته در سقف دوم ZONE Z3</t>
  </si>
  <si>
    <t>عملیات انجام گرفته در سقف دوم ZONE Z4</t>
  </si>
  <si>
    <t>عملیات انجام گرفته در سقف دوم ZONE Z5</t>
  </si>
  <si>
    <t>عملیات انجام گرفته در سقف دوم ZONE Y1</t>
  </si>
  <si>
    <t>عملیات انجام گرفته در سقف دوم ZONE Y2</t>
  </si>
  <si>
    <t>عملیات انجام گرفته در سقف دوم ZONE Y3</t>
  </si>
  <si>
    <t>عملیات انجام گرفته در طبقه همکف ZONE Z1</t>
  </si>
  <si>
    <t>عملیات انجام گرفته در زیرزمین ZONE Z1</t>
  </si>
  <si>
    <t>عملیات انجام گرفته در زیرزمین ZONE Z2</t>
  </si>
  <si>
    <t>عملیات انجام گرفته در زیرزمین ZONE Z3</t>
  </si>
  <si>
    <t>عملیات انجام گرفته در زیرزمین ZONE Z4</t>
  </si>
  <si>
    <t>عملیات انجام گرفته در زیرزمین ZONE Z5</t>
  </si>
  <si>
    <t>عملیات انجام گرفته در زیرزمین ZONE Y1</t>
  </si>
  <si>
    <t>عملیات انجام گرفته در زیرزمین ZONE Y2</t>
  </si>
  <si>
    <t>عملیات انجام گرفته در زیرزمین ZONE Y3</t>
  </si>
  <si>
    <t>عملیات انجام گرفته در طبقه همکف ZONE Z2</t>
  </si>
  <si>
    <t>عملیات انجام گرفته در طبقه همکف ZONE Z3</t>
  </si>
  <si>
    <t>عملیات انجام گرفته در پشت بام ZONE Z3</t>
  </si>
  <si>
    <t>انواع سنگ پلاك سياه (سنگ گل پنبه ای نطنز)به‌ضخامت 2 سانتي‌متر.</t>
  </si>
  <si>
    <t>مصالح پایکار</t>
  </si>
  <si>
    <t>لوله پی وی سی</t>
  </si>
  <si>
    <t>جمع فصل مصالح پایکار بدون ضرايب قرارداد</t>
  </si>
  <si>
    <t>030502*</t>
  </si>
  <si>
    <t>لوله پلي‌اتيلن، به قطر نامي 70.</t>
  </si>
  <si>
    <t>****</t>
  </si>
  <si>
    <t>نبشی کشی با انواع نبشی جهت تیغه کشی ها و نماسازیها و جان پناه بام و داکت کانال کولر ها همراه با ضد زنگ</t>
  </si>
  <si>
    <t>کیلوگرم</t>
  </si>
  <si>
    <t>عملیات انجام گرفته درپشت بام ZONE Z3</t>
  </si>
  <si>
    <t>عملیات انجام گرفته درپله های ZONE Z1,Z2</t>
  </si>
  <si>
    <t>نعل درگاه در پنجره های ZONE Z2</t>
  </si>
  <si>
    <t>020105*</t>
  </si>
  <si>
    <t>حفاری درزمین سنگی به صورت تونل به روش دستی</t>
  </si>
  <si>
    <t xml:space="preserve">حفاری درزمین سنگی به صورت تونل درZONE Y1,Y2 </t>
  </si>
  <si>
    <t>واحد : متر طول</t>
  </si>
  <si>
    <t>چاههای فاضلاب دربیرون از مغازه برای زهکش ها</t>
  </si>
  <si>
    <t>8</t>
  </si>
  <si>
    <t xml:space="preserve"> حفرميله چاه به قطرتا 1/2متر وعمق2/50 متر برای جمع آوری آب های زیرزمینی در زمین سنگی.</t>
  </si>
  <si>
    <t>صورت وضعيت موقت شماره10</t>
  </si>
  <si>
    <t>ﻓﺼﻞ چهارم .ﻟﻮﻟﻪ ﻫﺎي ﭘﻠﻲ اتیلن</t>
  </si>
  <si>
    <t xml:space="preserve">لوله کشی تاسیسات  درZONE Z,Y </t>
  </si>
  <si>
    <t xml:space="preserve">لوله کشی تاسیسات و شوفاژ  درZONE Z,Y </t>
  </si>
  <si>
    <t xml:space="preserve">لوله کشی شوفاژ  درZONE Z,Y </t>
  </si>
  <si>
    <t>*</t>
  </si>
  <si>
    <t>تهیه و اجرای عایق فوم لوله های پنج لایه</t>
  </si>
  <si>
    <t>عملیات انجام گرفته در طبقه همکف ZONE Z4</t>
  </si>
  <si>
    <t>عملیات انجام گرفته در طبقه همکف ZONE Z5</t>
  </si>
  <si>
    <t>عملیات انجام گرفته در طبقه همکف ZONE Y1</t>
  </si>
  <si>
    <t>عملیات انجام گرفته در طبقه همکف ZONE Y2</t>
  </si>
  <si>
    <t>عملیات انجام گرفته در طبقه همکف ZONE Y3</t>
  </si>
  <si>
    <t>عملیات انجام گرفته در پشت بام ZONE Z4</t>
  </si>
  <si>
    <t>عملیات انجام گرفته در پشت بام ZONE Z5</t>
  </si>
  <si>
    <t>فصل بیست و دوم- کارهای سنگی با سنگ پلاک</t>
  </si>
  <si>
    <t>جمع فصل بیست و دوم بدون ضرايب قرارداد</t>
  </si>
  <si>
    <t>اجرای سنگ فیتیله ای (تخم مرغی)گرانیت گل پنبه ای با ابزار مربوطه بر روی سنگهای پلاک گرانیتی</t>
  </si>
  <si>
    <t>فصل شانزدهم- کارهای فولادی سبک</t>
  </si>
  <si>
    <t>عملیات انجام گرفته در ZONE Z1</t>
  </si>
  <si>
    <t>عملیات انجام گرفته در ZONE Z2</t>
  </si>
  <si>
    <t>عملیات انجام گرفته در ZONE Z3</t>
  </si>
  <si>
    <t>عملیات انجام گرفته در ZONE Z4</t>
  </si>
  <si>
    <t>عملیات انجام گرفته در ZONE Z5</t>
  </si>
  <si>
    <t>عملیات انجام گرفته در ZONE Y1</t>
  </si>
  <si>
    <t>عملیات انجام گرفته در ZONE Y2</t>
  </si>
  <si>
    <t>عملیات انجام گرفته در ZONE Y3</t>
  </si>
  <si>
    <t>ﻓﺼﻞ نوزدهم .کانال هوا، دریچه هوا و دودکش</t>
  </si>
  <si>
    <t xml:space="preserve">کانال کولر  درZONE Z,Y </t>
  </si>
  <si>
    <t>جمع فصل نوزدهم بدون ضرايب قرارداد</t>
  </si>
  <si>
    <t>بتن بر روی پشت بام  ZONE Z ,</t>
  </si>
  <si>
    <t>لوله های کشیده شده برای زهکش</t>
  </si>
  <si>
    <t>عملیات انجام گرفته بر روی زهکش فونداسیونها در ZONE Z,Y</t>
  </si>
  <si>
    <t>جمع فصل شانزدهم بدون ضرايب قرارداد</t>
  </si>
  <si>
    <t>دوره کارکرد :</t>
  </si>
  <si>
    <t xml:space="preserve"> قرارداد شماره :  1232579/ر/1399</t>
  </si>
  <si>
    <t>لغايت : 1399/07/19</t>
  </si>
  <si>
    <t>دوره كاركرد از: 1399/06/19</t>
  </si>
  <si>
    <t>کارفرما : اداره کل نوسازی مدارس استان ....</t>
  </si>
  <si>
    <t>مشاور :  مهندسین مشاور ....</t>
  </si>
  <si>
    <t>پیمانکار :  مهندسین پیمانکار ....</t>
  </si>
  <si>
    <t>فهرست بهای پیمان : ابنیه 1399</t>
  </si>
  <si>
    <t>فهرست بهای پیمان : مکانیک 1399</t>
  </si>
  <si>
    <t>فهرست بهای پیمان : برق 1399</t>
  </si>
  <si>
    <t>موضوع قرارداد : ساختمان اداره کل نوسازی مدارس...</t>
  </si>
  <si>
    <t>مبلغ ارسالی پیمانکار</t>
  </si>
  <si>
    <t>برگ ريز مالي صورت وضعيت شماره: 10</t>
  </si>
  <si>
    <t>برگ خلاصه مالي فصلهای صورت وضعيت شماره:10</t>
  </si>
  <si>
    <t>برگ مالی صورت وضعيت شماره:10</t>
  </si>
  <si>
    <t>خلاصه مالي صورت وضعيت شماره:10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</si>
</sst>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0.00_);_(* \(#,##0.00\);_(* &quot;-&quot;??_);_(@_)"/>
    <numFmt numFmtId="164" formatCode="_ * #,##0_-&quot;ريال&quot;_ ;_ * #,##0\-&quot;ريال&quot;_ ;_ * &quot;-&quot;_-&quot;ريال&quot;_ ;_ @_ "/>
    <numFmt numFmtId="165" formatCode="_ * #,##0_-_ر_ي_ا_ل_ ;_ * #,##0\-_ر_ي_ا_ل_ ;_ * &quot;-&quot;_-_ر_ي_ا_ل_ ;_ @_ "/>
    <numFmt numFmtId="166" formatCode="_ * #,##0.00_-&quot;ريال&quot;_ ;_ * #,##0.00\-&quot;ريال&quot;_ ;_ * &quot;-&quot;??_-&quot;ريال&quot;_ ;_ @_ "/>
    <numFmt numFmtId="167" formatCode="_ * #,##0.00_-_ر_ي_ا_ل_ ;_ * #,##0.00\-_ر_ي_ا_ل_ ;_ * &quot;-&quot;??_-_ر_ي_ا_ل_ ;_ @_ "/>
    <numFmt numFmtId="168" formatCode="_-&quot;ريال&quot;\ * #,##0.00_-;_-&quot;ريال&quot;\ * #,##0.00\-;_-&quot;ريال&quot;\ * &quot;-&quot;??_-;_-@_-"/>
    <numFmt numFmtId="169" formatCode="_-* #,##0.00_-;_-* #,##0.00\-;_-* &quot;-&quot;??_-;_-@_-"/>
    <numFmt numFmtId="170" formatCode="#,##0.0000"/>
    <numFmt numFmtId="171" formatCode="_-&quot;ريال&quot;* #,##0_-;\-&quot;ريال&quot;* #,##0_-;_-&quot;ريال&quot;* &quot;-&quot;_-;_-@_-"/>
    <numFmt numFmtId="172" formatCode="_ * #,##0_ ;_ * \-#,##0_ ;_ * &quot;-&quot;??_ ;_ @_ "/>
    <numFmt numFmtId="173" formatCode="0.00_)"/>
    <numFmt numFmtId="174" formatCode="&quot;\&quot;#,##0;&quot;\&quot;&quot;\&quot;&quot;\&quot;&quot;\&quot;\-#,##0"/>
    <numFmt numFmtId="175" formatCode="#,##0;[Red]&quot;-&quot;#,##0"/>
    <numFmt numFmtId="176" formatCode="&quot;\&quot;#,##0;[Red]&quot;\&quot;&quot;\&quot;&quot;\&quot;&quot;\&quot;\-#,##0"/>
    <numFmt numFmtId="177" formatCode="_-&quot;\&quot;* #,##0_-;\-&quot;\&quot;* #,##0_-;_-&quot;\&quot;* &quot;-&quot;_-;_-@_-"/>
    <numFmt numFmtId="178" formatCode="&quot;\&quot;#,##0.00;&quot;\&quot;&quot;\&quot;&quot;\&quot;&quot;\&quot;\-#,##0.00"/>
    <numFmt numFmtId="179" formatCode="0.0"/>
    <numFmt numFmtId="180" formatCode="#,##0.00000000"/>
    <numFmt numFmtId="181" formatCode="_ * #,##0_ ;_ * \-#,##0_ ;_ * &quot;-&quot;_ ;_ @_ "/>
    <numFmt numFmtId="182" formatCode="_(* #,##0_);_(* \(#,##0\);_(* &quot;-&quot;??_);_(@_)"/>
  </numFmts>
  <fonts count="128">
    <font>
      <sz val="10"/>
      <name val="Arial"/>
    </font>
    <font>
      <sz val="11"/>
      <color theme="1"/>
      <name val="Calibri"/>
      <family val="2"/>
      <charset val="178"/>
      <scheme val="minor"/>
    </font>
    <font>
      <sz val="10"/>
      <name val="Arial"/>
      <family val="2"/>
    </font>
    <font>
      <sz val="10"/>
      <name val="Arial"/>
      <family val="2"/>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0"/>
      <name val="B Nazanin"/>
      <charset val="178"/>
    </font>
    <font>
      <sz val="14"/>
      <name val="B Nazanin"/>
      <charset val="178"/>
    </font>
    <font>
      <b/>
      <sz val="14"/>
      <name val="B Nazanin"/>
      <charset val="178"/>
    </font>
    <font>
      <sz val="12"/>
      <name val="B Nazanin"/>
      <charset val="178"/>
    </font>
    <font>
      <sz val="11"/>
      <name val="B Nazanin"/>
      <charset val="178"/>
    </font>
    <font>
      <sz val="13"/>
      <name val="B Nazanin"/>
      <charset val="178"/>
    </font>
    <font>
      <b/>
      <sz val="10"/>
      <name val="B Nazanin"/>
      <charset val="178"/>
    </font>
    <font>
      <sz val="9"/>
      <name val="B Nazanin"/>
      <charset val="178"/>
    </font>
    <font>
      <b/>
      <sz val="9"/>
      <name val="B Nazanin"/>
      <charset val="178"/>
    </font>
    <font>
      <b/>
      <sz val="12"/>
      <name val="B Nazanin"/>
      <charset val="178"/>
    </font>
    <font>
      <b/>
      <sz val="16"/>
      <name val="B Nazanin"/>
      <charset val="178"/>
    </font>
    <font>
      <sz val="10"/>
      <name val="Arial"/>
      <family val="2"/>
    </font>
    <font>
      <b/>
      <sz val="10"/>
      <name val="Arial"/>
      <family val="2"/>
    </font>
    <font>
      <sz val="10"/>
      <name val="Arial"/>
      <family val="2"/>
    </font>
    <font>
      <b/>
      <sz val="18"/>
      <name val="B Nazanin"/>
      <charset val="178"/>
    </font>
    <font>
      <sz val="18"/>
      <name val="B Nazanin"/>
      <charset val="178"/>
    </font>
    <font>
      <b/>
      <i/>
      <sz val="15"/>
      <name val="B Nazanin"/>
      <charset val="178"/>
    </font>
    <font>
      <sz val="20"/>
      <name val="B Nazanin"/>
      <charset val="178"/>
    </font>
    <font>
      <b/>
      <sz val="15"/>
      <name val="B Nazanin"/>
      <charset val="178"/>
    </font>
    <font>
      <sz val="15"/>
      <name val="B Nazanin"/>
      <charset val="178"/>
    </font>
    <font>
      <sz val="12"/>
      <name val="돋움체"/>
      <family val="3"/>
      <charset val="129"/>
    </font>
    <font>
      <sz val="10"/>
      <name val="Arabic Transparent"/>
      <charset val="178"/>
    </font>
    <font>
      <b/>
      <sz val="12"/>
      <name val="Arial"/>
      <family val="2"/>
    </font>
    <font>
      <b/>
      <i/>
      <sz val="16"/>
      <name val="Arial"/>
      <family val="2"/>
    </font>
    <font>
      <sz val="10"/>
      <name val="Arial"/>
      <family val="2"/>
      <charset val="178"/>
    </font>
    <font>
      <b/>
      <u/>
      <sz val="18"/>
      <name val="Arial"/>
      <family val="2"/>
    </font>
    <font>
      <sz val="18"/>
      <name val="Times New Roman"/>
      <family val="1"/>
    </font>
    <font>
      <sz val="8"/>
      <name val="Times New Roman"/>
      <family val="1"/>
    </font>
    <font>
      <sz val="8"/>
      <name val="Arial"/>
      <family val="2"/>
      <charset val="178"/>
    </font>
    <font>
      <b/>
      <i/>
      <sz val="16"/>
      <name val="Helv"/>
      <family val="2"/>
      <charset val="178"/>
    </font>
    <font>
      <sz val="8"/>
      <name val="Arial"/>
      <family val="2"/>
    </font>
    <font>
      <sz val="10"/>
      <name val="Zar"/>
      <charset val="178"/>
    </font>
    <font>
      <sz val="10"/>
      <name val="Times New Roman"/>
      <family val="1"/>
      <charset val="178"/>
    </font>
    <font>
      <sz val="5"/>
      <name val="Arial"/>
      <family val="2"/>
    </font>
    <font>
      <b/>
      <sz val="7"/>
      <color indexed="8"/>
      <name val="Arial"/>
      <family val="2"/>
    </font>
    <font>
      <b/>
      <sz val="7"/>
      <name val="Arial"/>
      <family val="2"/>
    </font>
    <font>
      <sz val="7"/>
      <name val="Arial"/>
      <family val="2"/>
    </font>
    <font>
      <sz val="7"/>
      <color indexed="8"/>
      <name val="Arial"/>
      <family val="2"/>
    </font>
    <font>
      <sz val="12"/>
      <name val="바탕체"/>
      <family val="1"/>
      <charset val="129"/>
    </font>
    <font>
      <b/>
      <sz val="1"/>
      <color indexed="8"/>
      <name val="Courier"/>
      <family val="3"/>
    </font>
    <font>
      <sz val="1"/>
      <color indexed="8"/>
      <name val="Courier"/>
      <family val="3"/>
    </font>
    <font>
      <sz val="14"/>
      <name val="뼻뮝"/>
      <family val="3"/>
      <charset val="129"/>
    </font>
    <font>
      <sz val="14"/>
      <name val="뼻뮝"/>
      <family val="3"/>
      <charset val="178"/>
    </font>
    <font>
      <sz val="12"/>
      <name val="뼻뮝"/>
      <family val="1"/>
      <charset val="178"/>
    </font>
    <font>
      <b/>
      <sz val="12"/>
      <color indexed="16"/>
      <name val="굴림체"/>
      <family val="3"/>
      <charset val="129"/>
    </font>
    <font>
      <sz val="11"/>
      <name val="돋움"/>
      <family val="3"/>
      <charset val="129"/>
    </font>
    <font>
      <b/>
      <sz val="11"/>
      <name val="B Nazanin"/>
      <charset val="178"/>
    </font>
    <font>
      <sz val="13"/>
      <color rgb="FFFF0000"/>
      <name val="B Nazanin"/>
      <charset val="178"/>
    </font>
    <font>
      <sz val="11"/>
      <color rgb="FFFF0000"/>
      <name val="B Nazanin"/>
      <charset val="178"/>
    </font>
    <font>
      <sz val="12"/>
      <color rgb="FFFF0000"/>
      <name val="B Nazanin"/>
      <charset val="178"/>
    </font>
    <font>
      <sz val="12"/>
      <color theme="5" tint="-0.249977111117893"/>
      <name val="B Nazanin"/>
      <charset val="178"/>
    </font>
    <font>
      <sz val="13"/>
      <color theme="2" tint="-0.749992370372631"/>
      <name val="B Nazanin"/>
      <charset val="178"/>
    </font>
    <font>
      <sz val="20"/>
      <color rgb="FFFF0000"/>
      <name val="B Nazanin"/>
      <charset val="178"/>
    </font>
    <font>
      <sz val="20"/>
      <color rgb="FF00B050"/>
      <name val="B Nazanin"/>
      <charset val="178"/>
    </font>
    <font>
      <sz val="12"/>
      <color rgb="FFC00000"/>
      <name val="B Nazanin"/>
      <charset val="178"/>
    </font>
    <font>
      <u/>
      <sz val="16"/>
      <color theme="1"/>
      <name val="B Nazanin"/>
      <charset val="178"/>
    </font>
    <font>
      <sz val="12"/>
      <color theme="1"/>
      <name val="B Nazanin"/>
      <charset val="178"/>
    </font>
    <font>
      <sz val="28"/>
      <color indexed="12"/>
      <name val="B Nazanin"/>
      <charset val="178"/>
    </font>
    <font>
      <b/>
      <sz val="22"/>
      <name val="B Nazanin"/>
      <charset val="178"/>
    </font>
    <font>
      <sz val="26"/>
      <color indexed="12"/>
      <name val="B Nazanin"/>
      <charset val="178"/>
    </font>
    <font>
      <sz val="16"/>
      <color theme="1"/>
      <name val="B Nazanin"/>
      <charset val="178"/>
    </font>
    <font>
      <sz val="10"/>
      <color rgb="FFFF0000"/>
      <name val="B Nazanin"/>
      <charset val="178"/>
    </font>
    <font>
      <sz val="8"/>
      <name val="B Nazanin"/>
      <charset val="178"/>
    </font>
    <font>
      <sz val="8"/>
      <color rgb="FFFF0000"/>
      <name val="B Nazanin"/>
      <charset val="178"/>
    </font>
    <font>
      <sz val="9"/>
      <color rgb="FFFF0000"/>
      <name val="B Nazanin"/>
      <charset val="178"/>
    </font>
    <font>
      <sz val="9"/>
      <color indexed="8"/>
      <name val="B Nazanin"/>
      <charset val="178"/>
    </font>
    <font>
      <sz val="11"/>
      <color theme="1"/>
      <name val="B Nazanin"/>
      <charset val="178"/>
    </font>
    <font>
      <sz val="16"/>
      <name val="B Nazanin"/>
      <charset val="178"/>
    </font>
    <font>
      <b/>
      <u/>
      <sz val="20"/>
      <color theme="1"/>
      <name val="B Nazanin"/>
      <charset val="178"/>
    </font>
    <font>
      <sz val="13"/>
      <color theme="1"/>
      <name val="B Nazanin"/>
      <charset val="178"/>
    </font>
    <font>
      <sz val="10"/>
      <color theme="1"/>
      <name val="B Nazanin"/>
      <charset val="178"/>
    </font>
    <font>
      <b/>
      <sz val="10"/>
      <color theme="1"/>
      <name val="B Nazanin"/>
      <charset val="178"/>
    </font>
    <font>
      <b/>
      <sz val="9"/>
      <color rgb="FFFF0000"/>
      <name val="B Nazanin"/>
      <charset val="178"/>
    </font>
    <font>
      <b/>
      <sz val="11"/>
      <color theme="1"/>
      <name val="B Nazanin"/>
      <charset val="178"/>
    </font>
    <font>
      <b/>
      <sz val="10"/>
      <color rgb="FFFF0000"/>
      <name val="B Nazanin"/>
      <charset val="178"/>
    </font>
    <font>
      <sz val="14"/>
      <color rgb="FFFF0000"/>
      <name val="B Nazanin"/>
      <charset val="178"/>
    </font>
    <font>
      <b/>
      <sz val="12"/>
      <color rgb="FFFF0000"/>
      <name val="B Nazanin"/>
      <charset val="178"/>
    </font>
    <font>
      <b/>
      <sz val="8"/>
      <name val="B Nazanin"/>
      <charset val="178"/>
    </font>
    <font>
      <i/>
      <sz val="15"/>
      <name val="B Nazanin"/>
      <charset val="178"/>
    </font>
    <font>
      <b/>
      <sz val="11"/>
      <color indexed="10"/>
      <name val="B Nazanin"/>
      <charset val="178"/>
    </font>
    <font>
      <b/>
      <sz val="9"/>
      <name val="B Zar"/>
      <charset val="178"/>
    </font>
    <font>
      <b/>
      <sz val="10"/>
      <name val="B Zar"/>
      <charset val="178"/>
    </font>
    <font>
      <b/>
      <sz val="12"/>
      <color indexed="10"/>
      <name val="B Nazanin"/>
      <charset val="178"/>
    </font>
    <font>
      <sz val="13"/>
      <color indexed="10"/>
      <name val="B Nazanin"/>
      <charset val="178"/>
    </font>
    <font>
      <sz val="12"/>
      <name val="Arial"/>
      <family val="2"/>
    </font>
    <font>
      <sz val="10"/>
      <name val="Mitra"/>
      <charset val="178"/>
    </font>
    <font>
      <sz val="11"/>
      <name val="Traffic-s"/>
      <family val="2"/>
    </font>
    <font>
      <sz val="11"/>
      <name val="Mitra"/>
      <charset val="178"/>
    </font>
    <font>
      <sz val="10"/>
      <color rgb="FFFF0000"/>
      <name val="Mitra"/>
      <charset val="178"/>
    </font>
    <font>
      <b/>
      <sz val="14"/>
      <color rgb="FFFF0000"/>
      <name val="B Nazanin"/>
      <charset val="178"/>
    </font>
    <font>
      <sz val="10"/>
      <color rgb="FFFF0000"/>
      <name val="Nazanin"/>
      <charset val="178"/>
    </font>
    <font>
      <sz val="10"/>
      <name val="Nazanin"/>
      <charset val="178"/>
    </font>
    <font>
      <sz val="9"/>
      <color theme="1"/>
      <name val="B Nazanin"/>
      <charset val="178"/>
    </font>
    <font>
      <sz val="7"/>
      <name val="B Nazanin"/>
      <charset val="178"/>
    </font>
    <font>
      <sz val="7"/>
      <color theme="1"/>
      <name val="B Nazanin"/>
      <charset val="178"/>
    </font>
    <font>
      <sz val="6"/>
      <color theme="1"/>
      <name val="B Nazanin"/>
      <charset val="178"/>
    </font>
    <font>
      <b/>
      <sz val="11"/>
      <color theme="0"/>
      <name val="B Mitra"/>
      <charset val="178"/>
    </font>
    <font>
      <sz val="11"/>
      <color theme="1"/>
      <name val="B Mitra"/>
      <charset val="178"/>
    </font>
    <font>
      <b/>
      <sz val="11"/>
      <color theme="1"/>
      <name val="B Mitra"/>
      <charset val="178"/>
    </font>
    <font>
      <sz val="8"/>
      <color theme="1"/>
      <name val="B Nazanin"/>
      <charset val="178"/>
    </font>
    <font>
      <sz val="6.5"/>
      <name val="B Nazanin"/>
      <charset val="178"/>
    </font>
    <font>
      <sz val="7"/>
      <color rgb="FFFF0000"/>
      <name val="B Nazanin"/>
      <charset val="178"/>
    </font>
    <font>
      <b/>
      <sz val="11"/>
      <color indexed="8"/>
      <name val="B Mitra"/>
      <charset val="178"/>
    </font>
    <font>
      <b/>
      <sz val="12"/>
      <color theme="1"/>
      <name val="B Mitra"/>
      <charset val="178"/>
    </font>
    <font>
      <sz val="10"/>
      <color theme="1"/>
      <name val="Arial"/>
      <family val="2"/>
    </font>
    <font>
      <sz val="12"/>
      <color theme="1"/>
      <name val="B Traffic"/>
      <charset val="178"/>
    </font>
    <font>
      <sz val="11.5"/>
      <color theme="1"/>
      <name val="B Traffic"/>
      <charset val="17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22"/>
        <bgColor indexed="22"/>
      </patternFill>
    </fill>
    <fill>
      <patternFill patternType="solid">
        <fgColor theme="0"/>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indexed="27"/>
        <bgColor indexed="64"/>
      </patternFill>
    </fill>
    <fill>
      <patternFill patternType="solid">
        <fgColor theme="4"/>
        <bgColor indexed="64"/>
      </patternFill>
    </fill>
    <fill>
      <patternFill patternType="solid">
        <fgColor theme="4" tint="0.7999816888943144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2"/>
      </top>
      <bottom style="double">
        <color indexed="62"/>
      </bottom>
      <diagonal/>
    </border>
    <border>
      <left/>
      <right/>
      <top style="double">
        <color indexed="64"/>
      </top>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right style="medium">
        <color indexed="64"/>
      </right>
      <top/>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bottom/>
      <diagonal/>
    </border>
    <border>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bottom/>
      <diagonal/>
    </border>
    <border>
      <left style="double">
        <color indexed="64"/>
      </left>
      <right/>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bottom style="double">
        <color indexed="64"/>
      </bottom>
      <diagonal/>
    </border>
    <border>
      <left style="double">
        <color indexed="64"/>
      </left>
      <right style="thin">
        <color indexed="64"/>
      </right>
      <top style="double">
        <color indexed="64"/>
      </top>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auto="1"/>
      </right>
      <top style="medium">
        <color indexed="64"/>
      </top>
      <bottom/>
      <diagonal/>
    </border>
    <border>
      <left style="thin">
        <color indexed="64"/>
      </left>
      <right style="thin">
        <color auto="1"/>
      </right>
      <top/>
      <bottom style="medium">
        <color indexed="64"/>
      </bottom>
      <diagonal/>
    </border>
    <border>
      <left/>
      <right style="thin">
        <color auto="1"/>
      </right>
      <top style="thin">
        <color indexed="64"/>
      </top>
      <bottom style="double">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top style="medium">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dotted">
        <color indexed="64"/>
      </bottom>
      <diagonal/>
    </border>
  </borders>
  <cellStyleXfs count="224">
    <xf numFmtId="0" fontId="0" fillId="0" borderId="0"/>
    <xf numFmtId="3" fontId="41" fillId="0" borderId="1"/>
    <xf numFmtId="0" fontId="42" fillId="0" borderId="0" applyNumberFormat="0">
      <alignment horizontal="right"/>
    </xf>
    <xf numFmtId="0" fontId="42" fillId="0" borderId="0" applyNumberFormat="0">
      <alignment horizontal="right"/>
    </xf>
    <xf numFmtId="3" fontId="41" fillId="0" borderId="1"/>
    <xf numFmtId="3" fontId="41" fillId="0" borderId="1"/>
    <xf numFmtId="0" fontId="43" fillId="0" borderId="2">
      <alignment horizontal="justify" vertical="center"/>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2" fillId="0" borderId="0" applyNumberFormat="0">
      <alignment horizontal="right"/>
    </xf>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44" fillId="0" borderId="0" applyProtection="0"/>
    <xf numFmtId="0" fontId="7" fillId="20" borderId="3" applyNumberFormat="0" applyAlignment="0" applyProtection="0"/>
    <xf numFmtId="0" fontId="8" fillId="21" borderId="4" applyNumberFormat="0" applyAlignment="0" applyProtection="0"/>
    <xf numFmtId="0" fontId="33" fillId="0" borderId="0">
      <alignment horizontal="center" vertical="center"/>
      <protection locked="0"/>
    </xf>
    <xf numFmtId="3" fontId="2" fillId="0" borderId="0" applyFont="0" applyFill="0" applyBorder="0" applyAlignment="0" applyProtection="0"/>
    <xf numFmtId="171" fontId="2" fillId="0" borderId="0" applyFont="0" applyFill="0" applyBorder="0" applyAlignment="0" applyProtection="0"/>
    <xf numFmtId="0" fontId="45" fillId="0" borderId="0" applyFont="0" applyFill="0" applyBorder="0" applyAlignment="0" applyProtection="0"/>
    <xf numFmtId="0" fontId="2" fillId="0" borderId="0" applyFont="0" applyFill="0" applyBorder="0" applyAlignment="0" applyProtection="0"/>
    <xf numFmtId="0" fontId="33" fillId="0" borderId="5">
      <alignment horizontal="centerContinuous"/>
    </xf>
    <xf numFmtId="165" fontId="2" fillId="0" borderId="0" applyFont="0" applyFill="0" applyBorder="0" applyAlignment="0" applyProtection="0"/>
    <xf numFmtId="167" fontId="2" fillId="0" borderId="0" applyFont="0" applyFill="0" applyBorder="0" applyAlignment="0" applyProtection="0"/>
    <xf numFmtId="0" fontId="9" fillId="0" borderId="0" applyNumberFormat="0" applyFill="0" applyBorder="0" applyAlignment="0" applyProtection="0"/>
    <xf numFmtId="0" fontId="2" fillId="0" borderId="0" applyProtection="0"/>
    <xf numFmtId="0" fontId="33" fillId="0" borderId="0" applyProtection="0"/>
    <xf numFmtId="0" fontId="46" fillId="0" borderId="0" applyProtection="0"/>
    <xf numFmtId="0" fontId="43" fillId="0" borderId="0" applyProtection="0"/>
    <xf numFmtId="0" fontId="47" fillId="0" borderId="0" applyProtection="0"/>
    <xf numFmtId="0" fontId="48" fillId="0" borderId="0" applyProtection="0"/>
    <xf numFmtId="0" fontId="48" fillId="0" borderId="0" applyProtection="0"/>
    <xf numFmtId="2" fontId="2" fillId="0" borderId="0" applyFont="0" applyFill="0" applyBorder="0" applyAlignment="0" applyProtection="0"/>
    <xf numFmtId="0" fontId="10" fillId="4" borderId="0" applyNumberFormat="0" applyBorder="0" applyAlignment="0" applyProtection="0"/>
    <xf numFmtId="38" fontId="49" fillId="22"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7" borderId="3" applyNumberFormat="0" applyAlignment="0" applyProtection="0"/>
    <xf numFmtId="10" fontId="49" fillId="23" borderId="1" applyNumberFormat="0" applyBorder="0" applyAlignment="0" applyProtection="0"/>
    <xf numFmtId="0" fontId="15" fillId="0" borderId="9" applyNumberFormat="0" applyFill="0" applyAlignment="0" applyProtection="0"/>
    <xf numFmtId="172" fontId="42" fillId="0" borderId="1" applyNumberFormat="0">
      <alignment horizontal="right"/>
    </xf>
    <xf numFmtId="0" fontId="16" fillId="24" borderId="0" applyNumberFormat="0" applyBorder="0" applyAlignment="0" applyProtection="0"/>
    <xf numFmtId="173" fontId="50" fillId="0" borderId="0"/>
    <xf numFmtId="0" fontId="3" fillId="0" borderId="0"/>
    <xf numFmtId="0" fontId="51" fillId="0" borderId="0"/>
    <xf numFmtId="0" fontId="51" fillId="0" borderId="0"/>
    <xf numFmtId="0" fontId="51" fillId="0" borderId="0"/>
    <xf numFmtId="0" fontId="32" fillId="0" borderId="0"/>
    <xf numFmtId="0" fontId="2" fillId="0" borderId="0"/>
    <xf numFmtId="0" fontId="51" fillId="0" borderId="0"/>
    <xf numFmtId="0" fontId="52" fillId="0" borderId="0">
      <alignment horizontal="center" vertical="center"/>
    </xf>
    <xf numFmtId="0" fontId="34" fillId="0" borderId="0"/>
    <xf numFmtId="0" fontId="2" fillId="0" borderId="0"/>
    <xf numFmtId="0" fontId="2" fillId="0" borderId="0"/>
    <xf numFmtId="0" fontId="2" fillId="0" borderId="0"/>
    <xf numFmtId="0" fontId="3" fillId="0" borderId="0"/>
    <xf numFmtId="0" fontId="2" fillId="25" borderId="10" applyNumberFormat="0" applyFont="0" applyAlignment="0" applyProtection="0"/>
    <xf numFmtId="0" fontId="42" fillId="0" borderId="0" applyNumberFormat="0">
      <alignment horizontal="right"/>
    </xf>
    <xf numFmtId="0" fontId="17" fillId="20" borderId="11" applyNumberFormat="0" applyAlignment="0" applyProtection="0"/>
    <xf numFmtId="0" fontId="53" fillId="0" borderId="0"/>
    <xf numFmtId="10" fontId="45"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0" fontId="42" fillId="0" borderId="0" applyNumberFormat="0">
      <alignment horizontal="right"/>
    </xf>
    <xf numFmtId="0" fontId="54" fillId="0" borderId="0"/>
    <xf numFmtId="0" fontId="42" fillId="0" borderId="0" applyNumberFormat="0">
      <alignment horizontal="right"/>
    </xf>
    <xf numFmtId="0" fontId="18" fillId="0" borderId="0" applyNumberFormat="0" applyFill="0" applyBorder="0" applyAlignment="0" applyProtection="0"/>
    <xf numFmtId="0" fontId="55" fillId="0" borderId="0"/>
    <xf numFmtId="0" fontId="56" fillId="0" borderId="12">
      <alignment horizontal="centerContinuous" vertical="center"/>
    </xf>
    <xf numFmtId="0" fontId="57" fillId="0" borderId="0">
      <alignment horizontal="center" textRotation="90"/>
    </xf>
    <xf numFmtId="0" fontId="19" fillId="0" borderId="13" applyNumberFormat="0" applyFill="0" applyAlignment="0" applyProtection="0"/>
    <xf numFmtId="0" fontId="58" fillId="0" borderId="0"/>
    <xf numFmtId="0" fontId="42" fillId="0" borderId="0" applyNumberFormat="0">
      <alignment horizontal="right"/>
    </xf>
    <xf numFmtId="0" fontId="42" fillId="0" borderId="0" applyNumberFormat="0">
      <alignment horizontal="right"/>
    </xf>
    <xf numFmtId="0" fontId="57" fillId="0" borderId="0"/>
    <xf numFmtId="164" fontId="2" fillId="0" borderId="0" applyFont="0" applyFill="0" applyBorder="0" applyAlignment="0" applyProtection="0"/>
    <xf numFmtId="166" fontId="2" fillId="0" borderId="0" applyFont="0" applyFill="0" applyBorder="0" applyAlignment="0" applyProtection="0"/>
    <xf numFmtId="0" fontId="20" fillId="0" borderId="0" applyNumberFormat="0" applyFill="0" applyBorder="0" applyAlignment="0" applyProtection="0"/>
    <xf numFmtId="174" fontId="59" fillId="0" borderId="0">
      <protection locked="0"/>
    </xf>
    <xf numFmtId="0" fontId="60" fillId="0" borderId="0">
      <protection locked="0"/>
    </xf>
    <xf numFmtId="0" fontId="60" fillId="0" borderId="0">
      <protection locked="0"/>
    </xf>
    <xf numFmtId="0" fontId="61" fillId="0" borderId="0">
      <protection locked="0"/>
    </xf>
    <xf numFmtId="0" fontId="61" fillId="0" borderId="0">
      <protection locked="0"/>
    </xf>
    <xf numFmtId="40" fontId="62" fillId="0" borderId="0" applyFont="0" applyFill="0" applyBorder="0" applyAlignment="0" applyProtection="0"/>
    <xf numFmtId="38" fontId="63" fillId="0" borderId="0" applyFont="0" applyFill="0" applyBorder="0" applyAlignment="0" applyProtection="0"/>
    <xf numFmtId="0" fontId="62" fillId="0" borderId="0" applyFont="0" applyFill="0" applyBorder="0" applyAlignment="0" applyProtection="0"/>
    <xf numFmtId="0" fontId="63" fillId="0" borderId="0" applyFont="0" applyFill="0" applyBorder="0" applyAlignment="0" applyProtection="0"/>
    <xf numFmtId="9" fontId="2" fillId="0" borderId="0" applyNumberFormat="0" applyFill="0" applyBorder="0" applyAlignment="0" applyProtection="0"/>
    <xf numFmtId="0" fontId="64" fillId="0" borderId="0"/>
    <xf numFmtId="175" fontId="65" fillId="0" borderId="0">
      <alignment vertical="center"/>
    </xf>
    <xf numFmtId="4" fontId="61" fillId="0" borderId="0">
      <protection locked="0"/>
    </xf>
    <xf numFmtId="176" fontId="59" fillId="0" borderId="0">
      <protection locked="0"/>
    </xf>
    <xf numFmtId="0" fontId="59" fillId="0" borderId="0" applyFont="0" applyFill="0" applyBorder="0" applyAlignment="0" applyProtection="0"/>
    <xf numFmtId="0" fontId="66" fillId="0" borderId="0" applyFont="0" applyFill="0" applyBorder="0" applyAlignment="0" applyProtection="0"/>
    <xf numFmtId="177" fontId="66" fillId="0" borderId="0" applyFont="0" applyFill="0" applyBorder="0" applyAlignment="0" applyProtection="0"/>
    <xf numFmtId="0" fontId="59" fillId="0" borderId="0" applyFont="0" applyFill="0" applyBorder="0" applyAlignment="0" applyProtection="0"/>
    <xf numFmtId="0" fontId="59" fillId="0" borderId="0">
      <protection locked="0"/>
    </xf>
    <xf numFmtId="0" fontId="59" fillId="0" borderId="0"/>
    <xf numFmtId="0" fontId="61" fillId="0" borderId="14">
      <protection locked="0"/>
    </xf>
    <xf numFmtId="0" fontId="59" fillId="0" borderId="0">
      <protection locked="0"/>
    </xf>
    <xf numFmtId="178" fontId="59" fillId="0" borderId="0">
      <protection locked="0"/>
    </xf>
    <xf numFmtId="181" fontId="2" fillId="0" borderId="0" applyFont="0" applyFill="0" applyBorder="0" applyAlignment="0" applyProtection="0"/>
    <xf numFmtId="0" fontId="2" fillId="0" borderId="0"/>
    <xf numFmtId="0" fontId="2" fillId="0" borderId="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applyProtection="0"/>
    <xf numFmtId="0" fontId="2" fillId="0" borderId="0"/>
    <xf numFmtId="0" fontId="2" fillId="0" borderId="0"/>
    <xf numFmtId="0" fontId="2" fillId="0" borderId="0"/>
    <xf numFmtId="0" fontId="2" fillId="0" borderId="0"/>
    <xf numFmtId="0" fontId="2" fillId="0" borderId="0"/>
    <xf numFmtId="0" fontId="2" fillId="0" borderId="0" applyProtection="0"/>
    <xf numFmtId="169"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106" fillId="0" borderId="83" applyFill="0" applyBorder="0" applyProtection="0">
      <alignment horizontal="justify" vertical="center" wrapText="1" readingOrder="2"/>
    </xf>
    <xf numFmtId="0" fontId="2" fillId="0" borderId="0"/>
    <xf numFmtId="3" fontId="107" fillId="0" borderId="83" applyFill="0" applyProtection="0">
      <alignment horizontal="center" vertical="center" readingOrder="2"/>
    </xf>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08" fillId="0" borderId="0" applyNumberFormat="0" applyFill="0" applyBorder="0" applyProtection="0">
      <alignment horizontal="center" vertical="center" readingOrder="2"/>
    </xf>
    <xf numFmtId="0" fontId="2" fillId="0" borderId="0"/>
    <xf numFmtId="0" fontId="2" fillId="0" borderId="0" applyProtection="0"/>
    <xf numFmtId="181" fontId="2" fillId="0" borderId="0" applyFont="0" applyFill="0" applyBorder="0" applyAlignment="0" applyProtection="0"/>
    <xf numFmtId="0" fontId="2" fillId="0" borderId="0"/>
    <xf numFmtId="0" fontId="2" fillId="0" borderId="0"/>
    <xf numFmtId="0" fontId="2" fillId="0" borderId="0"/>
    <xf numFmtId="181" fontId="2" fillId="0" borderId="0" applyFont="0" applyFill="0" applyBorder="0" applyAlignment="0" applyProtection="0"/>
    <xf numFmtId="0" fontId="2" fillId="0" borderId="0"/>
    <xf numFmtId="0" fontId="2" fillId="0" borderId="0"/>
    <xf numFmtId="0" fontId="2"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0" fontId="2" fillId="0" borderId="0" applyProtection="0"/>
    <xf numFmtId="0" fontId="2" fillId="0" borderId="0" applyProtection="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1" fillId="0" borderId="0"/>
    <xf numFmtId="169" fontId="1" fillId="0" borderId="0" applyFont="0" applyFill="0" applyBorder="0" applyAlignment="0" applyProtection="0"/>
    <xf numFmtId="0" fontId="2" fillId="0" borderId="0"/>
  </cellStyleXfs>
  <cellXfs count="801">
    <xf numFmtId="0" fontId="0" fillId="0" borderId="0" xfId="0"/>
    <xf numFmtId="2" fontId="21" fillId="0" borderId="0" xfId="77" applyNumberFormat="1" applyFont="1" applyFill="1" applyAlignment="1" applyProtection="1">
      <alignment horizontal="center" vertical="center"/>
      <protection locked="0"/>
    </xf>
    <xf numFmtId="1" fontId="24" fillId="0" borderId="0" xfId="77" applyNumberFormat="1" applyFont="1" applyFill="1" applyAlignment="1" applyProtection="1">
      <alignment horizontal="center" vertical="center"/>
      <protection locked="0"/>
    </xf>
    <xf numFmtId="2" fontId="24" fillId="0" borderId="0" xfId="77" applyNumberFormat="1" applyFont="1" applyFill="1" applyAlignment="1" applyProtection="1">
      <alignment horizontal="center" vertical="center" wrapText="1"/>
      <protection locked="0"/>
    </xf>
    <xf numFmtId="0" fontId="21" fillId="0" borderId="0" xfId="65" applyFont="1" applyFill="1" applyAlignment="1">
      <alignment horizontal="center" vertical="center" readingOrder="2"/>
    </xf>
    <xf numFmtId="3" fontId="25" fillId="0" borderId="0" xfId="65" applyNumberFormat="1" applyFont="1" applyFill="1" applyAlignment="1">
      <alignment horizontal="center" vertical="center" readingOrder="2"/>
    </xf>
    <xf numFmtId="0" fontId="25" fillId="0" borderId="16" xfId="65" applyFont="1" applyFill="1" applyBorder="1" applyAlignment="1">
      <alignment horizontal="center" vertical="center" readingOrder="2"/>
    </xf>
    <xf numFmtId="0" fontId="28" fillId="0" borderId="17" xfId="65" applyFont="1" applyFill="1" applyBorder="1" applyAlignment="1">
      <alignment horizontal="center" vertical="center" readingOrder="2"/>
    </xf>
    <xf numFmtId="3" fontId="22" fillId="27" borderId="1" xfId="65" applyNumberFormat="1" applyFont="1" applyFill="1" applyBorder="1" applyAlignment="1">
      <alignment horizontal="center" vertical="center" readingOrder="1"/>
    </xf>
    <xf numFmtId="3" fontId="21" fillId="0" borderId="0" xfId="65" applyNumberFormat="1" applyFont="1" applyFill="1" applyAlignment="1">
      <alignment horizontal="center" vertical="center" readingOrder="2"/>
    </xf>
    <xf numFmtId="0" fontId="34" fillId="0" borderId="0" xfId="73"/>
    <xf numFmtId="0" fontId="35" fillId="0" borderId="0" xfId="73" applyFont="1" applyFill="1" applyAlignment="1">
      <alignment vertical="center"/>
    </xf>
    <xf numFmtId="0" fontId="23" fillId="0" borderId="0" xfId="73" applyFont="1" applyFill="1" applyAlignment="1">
      <alignment vertical="center"/>
    </xf>
    <xf numFmtId="0" fontId="26" fillId="0" borderId="0" xfId="73" applyFont="1" applyFill="1" applyAlignment="1">
      <alignment horizontal="right" vertical="center"/>
    </xf>
    <xf numFmtId="0" fontId="36" fillId="0" borderId="0" xfId="73" applyFont="1" applyFill="1" applyAlignment="1">
      <alignment horizontal="right" vertical="center"/>
    </xf>
    <xf numFmtId="0" fontId="26" fillId="0" borderId="0" xfId="73" applyFont="1" applyFill="1" applyBorder="1" applyAlignment="1">
      <alignment horizontal="right" vertical="center"/>
    </xf>
    <xf numFmtId="0" fontId="36" fillId="0" borderId="0" xfId="73" applyFont="1" applyFill="1" applyBorder="1" applyAlignment="1">
      <alignment horizontal="right" vertical="center"/>
    </xf>
    <xf numFmtId="0" fontId="26" fillId="0" borderId="0" xfId="73" applyFont="1" applyFill="1"/>
    <xf numFmtId="0" fontId="31" fillId="0" borderId="0" xfId="73" applyFont="1" applyFill="1" applyAlignment="1">
      <alignment horizontal="left"/>
    </xf>
    <xf numFmtId="14" fontId="31" fillId="0" borderId="0" xfId="73" applyNumberFormat="1" applyFont="1" applyFill="1" applyBorder="1" applyAlignment="1">
      <alignment horizontal="right"/>
    </xf>
    <xf numFmtId="0" fontId="34" fillId="0" borderId="0" xfId="73" applyProtection="1"/>
    <xf numFmtId="3" fontId="22" fillId="0" borderId="0" xfId="65" applyNumberFormat="1" applyFont="1" applyFill="1" applyBorder="1" applyAlignment="1">
      <alignment horizontal="center" vertical="center" readingOrder="2"/>
    </xf>
    <xf numFmtId="3" fontId="24" fillId="0" borderId="0" xfId="65" applyNumberFormat="1" applyFont="1" applyFill="1" applyAlignment="1">
      <alignment horizontal="center" vertical="center" readingOrder="2"/>
    </xf>
    <xf numFmtId="3" fontId="24" fillId="0" borderId="0" xfId="77" applyNumberFormat="1" applyFont="1" applyFill="1" applyAlignment="1" applyProtection="1">
      <alignment horizontal="center" vertical="center"/>
      <protection locked="0"/>
    </xf>
    <xf numFmtId="3" fontId="24" fillId="0" borderId="0" xfId="65" applyNumberFormat="1" applyFont="1" applyFill="1" applyAlignment="1">
      <alignment horizontal="center" vertical="center"/>
    </xf>
    <xf numFmtId="3" fontId="71" fillId="29" borderId="0" xfId="65" applyNumberFormat="1" applyFont="1" applyFill="1" applyAlignment="1">
      <alignment horizontal="center" vertical="center" readingOrder="2"/>
    </xf>
    <xf numFmtId="3" fontId="26" fillId="0" borderId="0" xfId="65" applyNumberFormat="1" applyFont="1" applyFill="1" applyAlignment="1">
      <alignment horizontal="center" vertical="center" readingOrder="2"/>
    </xf>
    <xf numFmtId="3" fontId="72" fillId="30" borderId="0" xfId="65" applyNumberFormat="1" applyFont="1" applyFill="1" applyAlignment="1">
      <alignment horizontal="center" vertical="center" readingOrder="2"/>
    </xf>
    <xf numFmtId="0" fontId="21" fillId="0" borderId="0" xfId="69" applyFont="1"/>
    <xf numFmtId="0" fontId="21" fillId="22" borderId="18" xfId="69" applyFont="1" applyFill="1" applyBorder="1"/>
    <xf numFmtId="0" fontId="21" fillId="22" borderId="19" xfId="69" applyFont="1" applyFill="1" applyBorder="1"/>
    <xf numFmtId="0" fontId="21" fillId="22" borderId="20" xfId="69" applyFont="1" applyFill="1" applyBorder="1"/>
    <xf numFmtId="0" fontId="21" fillId="22" borderId="23" xfId="69" applyFont="1" applyFill="1" applyBorder="1"/>
    <xf numFmtId="0" fontId="79" fillId="0" borderId="0" xfId="69" applyFont="1" applyBorder="1" applyAlignment="1">
      <alignment horizontal="center" vertical="center"/>
    </xf>
    <xf numFmtId="0" fontId="21" fillId="22" borderId="26" xfId="69" applyFont="1" applyFill="1" applyBorder="1"/>
    <xf numFmtId="0" fontId="30" fillId="0" borderId="0" xfId="73" applyFont="1" applyFill="1" applyAlignment="1">
      <alignment vertical="center"/>
    </xf>
    <xf numFmtId="0" fontId="30" fillId="0" borderId="0" xfId="73" applyFont="1" applyFill="1" applyAlignment="1">
      <alignment horizontal="right" vertical="center"/>
    </xf>
    <xf numFmtId="0" fontId="24" fillId="0" borderId="0" xfId="73" applyFont="1" applyFill="1" applyBorder="1" applyAlignment="1">
      <alignment horizontal="right" vertical="center"/>
    </xf>
    <xf numFmtId="0" fontId="21" fillId="0" borderId="0" xfId="73" applyFont="1"/>
    <xf numFmtId="1" fontId="27" fillId="0" borderId="1" xfId="77" applyNumberFormat="1" applyFont="1" applyFill="1" applyBorder="1" applyAlignment="1" applyProtection="1">
      <alignment horizontal="center" vertical="center" wrapText="1"/>
      <protection locked="0"/>
    </xf>
    <xf numFmtId="3" fontId="21" fillId="28" borderId="1" xfId="77" applyNumberFormat="1" applyFont="1" applyFill="1" applyBorder="1" applyAlignment="1" applyProtection="1">
      <alignment horizontal="center" vertical="center"/>
      <protection locked="0"/>
    </xf>
    <xf numFmtId="3" fontId="82" fillId="28" borderId="1" xfId="77" applyNumberFormat="1" applyFont="1" applyFill="1" applyBorder="1" applyAlignment="1" applyProtection="1">
      <alignment horizontal="center" vertical="center"/>
      <protection locked="0"/>
    </xf>
    <xf numFmtId="2" fontId="28" fillId="0" borderId="1" xfId="77" applyNumberFormat="1" applyFont="1" applyFill="1" applyBorder="1" applyAlignment="1" applyProtection="1">
      <alignment horizontal="center" vertical="center"/>
      <protection locked="0"/>
    </xf>
    <xf numFmtId="3" fontId="85" fillId="0" borderId="1" xfId="77" applyNumberFormat="1" applyFont="1" applyFill="1" applyBorder="1" applyAlignment="1" applyProtection="1">
      <alignment horizontal="center" vertical="center"/>
      <protection locked="0"/>
    </xf>
    <xf numFmtId="4" fontId="28" fillId="0" borderId="1" xfId="77" applyNumberFormat="1" applyFont="1" applyFill="1" applyBorder="1" applyAlignment="1" applyProtection="1">
      <alignment horizontal="center" vertical="center"/>
      <protection locked="0"/>
    </xf>
    <xf numFmtId="4" fontId="85" fillId="0" borderId="1" xfId="77" applyNumberFormat="1" applyFont="1" applyFill="1" applyBorder="1" applyAlignment="1" applyProtection="1">
      <alignment horizontal="center" vertical="center"/>
      <protection locked="0"/>
    </xf>
    <xf numFmtId="3" fontId="28" fillId="28" borderId="1" xfId="77" applyNumberFormat="1" applyFont="1" applyFill="1" applyBorder="1" applyAlignment="1" applyProtection="1">
      <alignment horizontal="center" vertical="center"/>
      <protection locked="0"/>
    </xf>
    <xf numFmtId="3" fontId="85" fillId="28" borderId="1" xfId="77" applyNumberFormat="1" applyFont="1" applyFill="1" applyBorder="1" applyAlignment="1" applyProtection="1">
      <alignment horizontal="center" vertical="center"/>
      <protection locked="0"/>
    </xf>
    <xf numFmtId="2" fontId="83" fillId="0" borderId="0" xfId="77" applyNumberFormat="1" applyFont="1" applyFill="1" applyAlignment="1" applyProtection="1">
      <alignment horizontal="center" vertical="center"/>
      <protection locked="0"/>
    </xf>
    <xf numFmtId="4" fontId="29" fillId="0" borderId="0" xfId="77" applyNumberFormat="1" applyFont="1" applyFill="1" applyAlignment="1" applyProtection="1">
      <alignment horizontal="center" vertical="center"/>
      <protection locked="0"/>
    </xf>
    <xf numFmtId="3" fontId="70" fillId="0" borderId="1" xfId="73" applyNumberFormat="1" applyFont="1" applyFill="1" applyBorder="1" applyAlignment="1">
      <alignment horizontal="center" vertical="center" shrinkToFit="1"/>
    </xf>
    <xf numFmtId="3" fontId="85" fillId="0" borderId="27" xfId="77" applyNumberFormat="1" applyFont="1" applyFill="1" applyBorder="1" applyAlignment="1" applyProtection="1">
      <alignment horizontal="center" vertical="center"/>
      <protection locked="0"/>
    </xf>
    <xf numFmtId="0" fontId="23" fillId="0" borderId="0" xfId="73" applyFont="1" applyFill="1" applyAlignment="1">
      <alignment horizontal="right" vertical="center"/>
    </xf>
    <xf numFmtId="2" fontId="87" fillId="27" borderId="1" xfId="0" applyNumberFormat="1" applyFont="1" applyFill="1" applyBorder="1" applyAlignment="1">
      <alignment horizontal="center" vertical="center"/>
    </xf>
    <xf numFmtId="2" fontId="69" fillId="27" borderId="1" xfId="0" applyNumberFormat="1" applyFont="1" applyFill="1" applyBorder="1" applyAlignment="1">
      <alignment horizontal="center" vertical="center"/>
    </xf>
    <xf numFmtId="2" fontId="25" fillId="27" borderId="1" xfId="0" applyNumberFormat="1" applyFont="1" applyFill="1" applyBorder="1" applyAlignment="1">
      <alignment horizontal="center" vertical="center"/>
    </xf>
    <xf numFmtId="179" fontId="69" fillId="27" borderId="1" xfId="0" applyNumberFormat="1" applyFont="1" applyFill="1" applyBorder="1" applyAlignment="1">
      <alignment horizontal="center" vertical="center"/>
    </xf>
    <xf numFmtId="0" fontId="21" fillId="0" borderId="0" xfId="73" applyFont="1" applyBorder="1"/>
    <xf numFmtId="2" fontId="91" fillId="27" borderId="1" xfId="0" applyNumberFormat="1" applyFont="1" applyFill="1" applyBorder="1" applyAlignment="1">
      <alignment horizontal="center" vertical="center"/>
    </xf>
    <xf numFmtId="0" fontId="36" fillId="0" borderId="0" xfId="73" applyFont="1" applyFill="1" applyAlignment="1">
      <alignment horizontal="center" vertical="center"/>
    </xf>
    <xf numFmtId="0" fontId="23" fillId="0" borderId="0" xfId="73" applyFont="1" applyFill="1" applyAlignment="1">
      <alignment horizontal="left" vertical="center"/>
    </xf>
    <xf numFmtId="0" fontId="30" fillId="0" borderId="0" xfId="73" applyFont="1" applyFill="1" applyAlignment="1">
      <alignment vertical="center" wrapText="1"/>
    </xf>
    <xf numFmtId="3" fontId="82" fillId="0" borderId="0" xfId="65" applyNumberFormat="1" applyFont="1" applyFill="1" applyAlignment="1">
      <alignment horizontal="center" vertical="center" readingOrder="2"/>
    </xf>
    <xf numFmtId="3" fontId="75" fillId="0" borderId="0" xfId="65" applyNumberFormat="1" applyFont="1" applyFill="1" applyAlignment="1">
      <alignment horizontal="center" vertical="center" readingOrder="2"/>
    </xf>
    <xf numFmtId="3" fontId="68" fillId="27" borderId="1" xfId="65" applyNumberFormat="1" applyFont="1" applyFill="1" applyBorder="1" applyAlignment="1">
      <alignment horizontal="center" vertical="center" readingOrder="2"/>
    </xf>
    <xf numFmtId="2" fontId="28" fillId="0" borderId="27" xfId="65" applyNumberFormat="1" applyFont="1" applyFill="1" applyBorder="1" applyAlignment="1" applyProtection="1">
      <alignment horizontal="right" vertical="center" wrapText="1"/>
      <protection locked="0"/>
    </xf>
    <xf numFmtId="2" fontId="28" fillId="0" borderId="0" xfId="77" applyNumberFormat="1" applyFont="1" applyFill="1" applyAlignment="1" applyProtection="1">
      <alignment horizontal="center" vertical="center"/>
      <protection locked="0"/>
    </xf>
    <xf numFmtId="4" fontId="85" fillId="0" borderId="27" xfId="77" applyNumberFormat="1" applyFont="1" applyFill="1" applyBorder="1" applyAlignment="1" applyProtection="1">
      <alignment horizontal="center" vertical="center"/>
      <protection locked="0"/>
    </xf>
    <xf numFmtId="3" fontId="28" fillId="0" borderId="27" xfId="77" applyNumberFormat="1" applyFont="1" applyFill="1" applyBorder="1" applyAlignment="1" applyProtection="1">
      <alignment horizontal="center" vertical="center"/>
      <protection locked="0"/>
    </xf>
    <xf numFmtId="4" fontId="28" fillId="0" borderId="27" xfId="77" applyNumberFormat="1" applyFont="1" applyFill="1" applyBorder="1" applyAlignment="1" applyProtection="1">
      <alignment horizontal="center" vertical="center"/>
      <protection locked="0"/>
    </xf>
    <xf numFmtId="3" fontId="86" fillId="0" borderId="40" xfId="77" applyNumberFormat="1" applyFont="1" applyFill="1" applyBorder="1" applyAlignment="1" applyProtection="1">
      <alignment horizontal="center" vertical="center"/>
      <protection locked="0"/>
    </xf>
    <xf numFmtId="1" fontId="95" fillId="0" borderId="1" xfId="77" applyNumberFormat="1" applyFont="1" applyFill="1" applyBorder="1" applyAlignment="1" applyProtection="1">
      <alignment horizontal="center" vertical="center" wrapText="1"/>
      <protection locked="0"/>
    </xf>
    <xf numFmtId="3" fontId="86" fillId="0" borderId="39" xfId="77" applyNumberFormat="1" applyFont="1" applyFill="1" applyBorder="1" applyAlignment="1" applyProtection="1">
      <alignment horizontal="center" vertical="center"/>
      <protection locked="0"/>
    </xf>
    <xf numFmtId="2" fontId="28" fillId="0" borderId="27" xfId="77" applyNumberFormat="1" applyFont="1" applyFill="1" applyBorder="1" applyAlignment="1" applyProtection="1">
      <alignment horizontal="center" vertical="center"/>
      <protection locked="0"/>
    </xf>
    <xf numFmtId="3" fontId="21" fillId="0" borderId="27" xfId="77" applyNumberFormat="1" applyFont="1" applyFill="1" applyBorder="1" applyAlignment="1" applyProtection="1">
      <alignment horizontal="center" vertical="center"/>
      <protection locked="0"/>
    </xf>
    <xf numFmtId="2" fontId="28" fillId="0" borderId="27" xfId="77" applyNumberFormat="1" applyFont="1" applyFill="1" applyBorder="1" applyAlignment="1" applyProtection="1">
      <alignment horizontal="center" vertical="center" wrapText="1"/>
      <protection locked="0"/>
    </xf>
    <xf numFmtId="3" fontId="24" fillId="0" borderId="27" xfId="73" applyNumberFormat="1" applyFont="1" applyFill="1" applyBorder="1" applyAlignment="1">
      <alignment horizontal="center" vertical="center"/>
    </xf>
    <xf numFmtId="3" fontId="70" fillId="0" borderId="27" xfId="73" applyNumberFormat="1" applyFont="1" applyFill="1" applyBorder="1" applyAlignment="1">
      <alignment horizontal="center" vertical="center"/>
    </xf>
    <xf numFmtId="0" fontId="26" fillId="0" borderId="27" xfId="65" applyFont="1" applyFill="1" applyBorder="1" applyAlignment="1">
      <alignment horizontal="center" vertical="center" wrapText="1" readingOrder="2"/>
    </xf>
    <xf numFmtId="0" fontId="24" fillId="0" borderId="55" xfId="65" applyFont="1" applyFill="1" applyBorder="1" applyAlignment="1">
      <alignment horizontal="center" vertical="center" readingOrder="2"/>
    </xf>
    <xf numFmtId="0" fontId="26" fillId="0" borderId="27" xfId="65" applyFont="1" applyFill="1" applyBorder="1" applyAlignment="1">
      <alignment horizontal="center" vertical="center" readingOrder="2"/>
    </xf>
    <xf numFmtId="0" fontId="24" fillId="0" borderId="27" xfId="65" applyFont="1" applyFill="1" applyBorder="1" applyAlignment="1">
      <alignment horizontal="center" vertical="center" readingOrder="2"/>
    </xf>
    <xf numFmtId="0" fontId="24" fillId="0" borderId="27" xfId="65" applyFont="1" applyFill="1" applyBorder="1" applyAlignment="1">
      <alignment horizontal="center" vertical="center" wrapText="1" readingOrder="2"/>
    </xf>
    <xf numFmtId="3" fontId="82" fillId="0" borderId="1" xfId="65" applyNumberFormat="1" applyFont="1" applyFill="1" applyBorder="1" applyAlignment="1">
      <alignment horizontal="center" vertical="center" readingOrder="2"/>
    </xf>
    <xf numFmtId="0" fontId="24" fillId="0" borderId="16" xfId="65" applyFont="1" applyFill="1" applyBorder="1" applyAlignment="1">
      <alignment horizontal="center" vertical="center" readingOrder="2"/>
    </xf>
    <xf numFmtId="3" fontId="68" fillId="27" borderId="27" xfId="65" applyNumberFormat="1" applyFont="1" applyFill="1" applyBorder="1" applyAlignment="1">
      <alignment horizontal="center" vertical="center" readingOrder="2"/>
    </xf>
    <xf numFmtId="3" fontId="69" fillId="0" borderId="36" xfId="65" applyNumberFormat="1" applyFont="1" applyFill="1" applyBorder="1" applyAlignment="1">
      <alignment horizontal="center" vertical="center" readingOrder="2"/>
    </xf>
    <xf numFmtId="3" fontId="68" fillId="0" borderId="27" xfId="65" applyNumberFormat="1" applyFont="1" applyFill="1" applyBorder="1" applyAlignment="1">
      <alignment horizontal="center" vertical="center" readingOrder="2"/>
    </xf>
    <xf numFmtId="3" fontId="69" fillId="27" borderId="27" xfId="65" applyNumberFormat="1" applyFont="1" applyFill="1" applyBorder="1" applyAlignment="1">
      <alignment horizontal="center" vertical="center" readingOrder="2"/>
    </xf>
    <xf numFmtId="3" fontId="69" fillId="0" borderId="27" xfId="65" applyNumberFormat="1" applyFont="1" applyFill="1" applyBorder="1" applyAlignment="1">
      <alignment horizontal="center" vertical="center" readingOrder="2"/>
    </xf>
    <xf numFmtId="0" fontId="83" fillId="0" borderId="50" xfId="65" applyFont="1" applyFill="1" applyBorder="1" applyAlignment="1">
      <alignment horizontal="center" vertical="center" wrapText="1" readingOrder="2"/>
    </xf>
    <xf numFmtId="3" fontId="68" fillId="27" borderId="37" xfId="65" applyNumberFormat="1" applyFont="1" applyFill="1" applyBorder="1" applyAlignment="1">
      <alignment horizontal="center" vertical="center" readingOrder="2"/>
    </xf>
    <xf numFmtId="3" fontId="69" fillId="27" borderId="37" xfId="65" applyNumberFormat="1" applyFont="1" applyFill="1" applyBorder="1" applyAlignment="1">
      <alignment horizontal="center" vertical="center" readingOrder="2"/>
    </xf>
    <xf numFmtId="0" fontId="24" fillId="0" borderId="1" xfId="65" applyFont="1" applyFill="1" applyBorder="1" applyAlignment="1">
      <alignment horizontal="center" vertical="center" readingOrder="2"/>
    </xf>
    <xf numFmtId="3" fontId="68" fillId="0" borderId="1" xfId="65" applyNumberFormat="1" applyFont="1" applyFill="1" applyBorder="1" applyAlignment="1">
      <alignment horizontal="center" vertical="center" readingOrder="2"/>
    </xf>
    <xf numFmtId="3" fontId="68" fillId="27" borderId="30" xfId="65" applyNumberFormat="1" applyFont="1" applyFill="1" applyBorder="1" applyAlignment="1">
      <alignment horizontal="center" vertical="center" readingOrder="2"/>
    </xf>
    <xf numFmtId="0" fontId="22" fillId="0" borderId="1" xfId="73" applyFont="1" applyFill="1" applyBorder="1" applyAlignment="1">
      <alignment horizontal="center" vertical="center"/>
    </xf>
    <xf numFmtId="0" fontId="22" fillId="0" borderId="39" xfId="73" applyFont="1" applyFill="1" applyBorder="1" applyAlignment="1">
      <alignment horizontal="center" vertical="center"/>
    </xf>
    <xf numFmtId="0" fontId="24" fillId="0" borderId="1" xfId="73" applyFont="1" applyFill="1" applyBorder="1" applyAlignment="1">
      <alignment horizontal="center" vertical="center" wrapText="1"/>
    </xf>
    <xf numFmtId="0" fontId="96" fillId="0" borderId="39" xfId="73" applyFont="1" applyFill="1" applyBorder="1" applyAlignment="1">
      <alignment horizontal="center" vertical="center"/>
    </xf>
    <xf numFmtId="0" fontId="82" fillId="0" borderId="0" xfId="73" applyFont="1"/>
    <xf numFmtId="0" fontId="97" fillId="0" borderId="0" xfId="73" applyFont="1" applyFill="1" applyAlignment="1">
      <alignment vertical="center"/>
    </xf>
    <xf numFmtId="0" fontId="96" fillId="0" borderId="1" xfId="73" applyFont="1" applyFill="1" applyBorder="1" applyAlignment="1">
      <alignment horizontal="center" vertical="center"/>
    </xf>
    <xf numFmtId="0" fontId="69" fillId="0" borderId="59" xfId="65" applyFont="1" applyFill="1" applyBorder="1" applyAlignment="1">
      <alignment horizontal="center" vertical="center" wrapText="1" readingOrder="2"/>
    </xf>
    <xf numFmtId="0" fontId="69" fillId="0" borderId="46" xfId="65" applyFont="1" applyFill="1" applyBorder="1" applyAlignment="1">
      <alignment horizontal="center" vertical="center" wrapText="1" readingOrder="2"/>
    </xf>
    <xf numFmtId="0" fontId="82" fillId="0" borderId="0" xfId="65" applyFont="1" applyFill="1" applyAlignment="1">
      <alignment horizontal="center" vertical="center" readingOrder="2"/>
    </xf>
    <xf numFmtId="3" fontId="96" fillId="0" borderId="0" xfId="65" applyNumberFormat="1" applyFont="1" applyFill="1" applyBorder="1" applyAlignment="1">
      <alignment horizontal="center" vertical="center" readingOrder="2"/>
    </xf>
    <xf numFmtId="3" fontId="69" fillId="27" borderId="53" xfId="65" applyNumberFormat="1" applyFont="1" applyFill="1" applyBorder="1" applyAlignment="1">
      <alignment horizontal="center" vertical="center" readingOrder="2"/>
    </xf>
    <xf numFmtId="3" fontId="69" fillId="27" borderId="12" xfId="65" applyNumberFormat="1" applyFont="1" applyFill="1" applyBorder="1" applyAlignment="1">
      <alignment horizontal="center" vertical="center" readingOrder="2"/>
    </xf>
    <xf numFmtId="3" fontId="69" fillId="0" borderId="25" xfId="65" applyNumberFormat="1" applyFont="1" applyFill="1" applyBorder="1" applyAlignment="1">
      <alignment horizontal="center" vertical="center" readingOrder="2"/>
    </xf>
    <xf numFmtId="4" fontId="93" fillId="0" borderId="0" xfId="77" applyNumberFormat="1" applyFont="1" applyFill="1" applyAlignment="1" applyProtection="1">
      <alignment horizontal="center" vertical="center"/>
      <protection locked="0"/>
    </xf>
    <xf numFmtId="2" fontId="84" fillId="0" borderId="0" xfId="77" applyNumberFormat="1" applyFont="1" applyFill="1" applyAlignment="1" applyProtection="1">
      <alignment horizontal="center" vertical="center"/>
      <protection locked="0"/>
    </xf>
    <xf numFmtId="3" fontId="24" fillId="0" borderId="0" xfId="65" applyNumberFormat="1" applyFont="1" applyFill="1" applyBorder="1" applyAlignment="1">
      <alignment horizontal="center" vertical="center" readingOrder="2"/>
    </xf>
    <xf numFmtId="3" fontId="71" fillId="29" borderId="34" xfId="65" applyNumberFormat="1" applyFont="1" applyFill="1" applyBorder="1" applyAlignment="1">
      <alignment horizontal="center" vertical="center" readingOrder="2"/>
    </xf>
    <xf numFmtId="3" fontId="24" fillId="0" borderId="0" xfId="65" applyNumberFormat="1" applyFont="1" applyFill="1" applyBorder="1" applyAlignment="1">
      <alignment horizontal="center" vertical="center"/>
    </xf>
    <xf numFmtId="0" fontId="21" fillId="0" borderId="0" xfId="69" applyFont="1" applyBorder="1"/>
    <xf numFmtId="3" fontId="85" fillId="0" borderId="43" xfId="77" applyNumberFormat="1" applyFont="1" applyFill="1" applyBorder="1" applyAlignment="1" applyProtection="1">
      <alignment horizontal="center" vertical="center"/>
      <protection locked="0"/>
    </xf>
    <xf numFmtId="3" fontId="86" fillId="0" borderId="32" xfId="77" applyNumberFormat="1" applyFont="1" applyFill="1" applyBorder="1" applyAlignment="1" applyProtection="1">
      <alignment horizontal="center" vertical="center"/>
      <protection locked="0"/>
    </xf>
    <xf numFmtId="4" fontId="85" fillId="0" borderId="43" xfId="77" applyNumberFormat="1" applyFont="1" applyFill="1" applyBorder="1" applyAlignment="1" applyProtection="1">
      <alignment horizontal="center" vertical="center"/>
      <protection locked="0"/>
    </xf>
    <xf numFmtId="4" fontId="85" fillId="0" borderId="31" xfId="77" applyNumberFormat="1" applyFont="1" applyFill="1" applyBorder="1" applyAlignment="1" applyProtection="1">
      <alignment horizontal="center" vertical="center"/>
      <protection locked="0"/>
    </xf>
    <xf numFmtId="3" fontId="85" fillId="0" borderId="31" xfId="77" applyNumberFormat="1" applyFont="1" applyFill="1" applyBorder="1" applyAlignment="1" applyProtection="1">
      <alignment horizontal="center" vertical="center"/>
      <protection locked="0"/>
    </xf>
    <xf numFmtId="3" fontId="68" fillId="27" borderId="72" xfId="65" applyNumberFormat="1" applyFont="1" applyFill="1" applyBorder="1" applyAlignment="1">
      <alignment horizontal="center" vertical="center" readingOrder="2"/>
    </xf>
    <xf numFmtId="3" fontId="71" fillId="29" borderId="54" xfId="65" applyNumberFormat="1" applyFont="1" applyFill="1" applyBorder="1" applyAlignment="1">
      <alignment horizontal="center" vertical="center" readingOrder="2"/>
    </xf>
    <xf numFmtId="3" fontId="24" fillId="0" borderId="15" xfId="65" applyNumberFormat="1" applyFont="1" applyFill="1" applyBorder="1" applyAlignment="1">
      <alignment horizontal="center" vertical="center"/>
    </xf>
    <xf numFmtId="3" fontId="70" fillId="0" borderId="1" xfId="73" applyNumberFormat="1" applyFont="1" applyFill="1" applyBorder="1" applyAlignment="1">
      <alignment horizontal="center" vertical="center"/>
    </xf>
    <xf numFmtId="3" fontId="68" fillId="0" borderId="43" xfId="65" applyNumberFormat="1" applyFont="1" applyFill="1" applyBorder="1" applyAlignment="1">
      <alignment horizontal="center" vertical="center" readingOrder="2"/>
    </xf>
    <xf numFmtId="4" fontId="28" fillId="0" borderId="43" xfId="77" applyNumberFormat="1" applyFont="1" applyFill="1" applyBorder="1" applyAlignment="1" applyProtection="1">
      <alignment horizontal="center" vertical="center"/>
      <protection locked="0"/>
    </xf>
    <xf numFmtId="0" fontId="24" fillId="0" borderId="0" xfId="65" applyFont="1" applyFill="1" applyAlignment="1">
      <alignment horizontal="center" vertical="center" readingOrder="2"/>
    </xf>
    <xf numFmtId="180" fontId="21" fillId="0" borderId="27" xfId="65" applyNumberFormat="1" applyFont="1" applyFill="1" applyBorder="1" applyAlignment="1">
      <alignment horizontal="center" vertical="center" readingOrder="2"/>
    </xf>
    <xf numFmtId="170" fontId="25" fillId="0" borderId="36" xfId="65" applyNumberFormat="1" applyFont="1" applyFill="1" applyBorder="1" applyAlignment="1">
      <alignment horizontal="center" vertical="center" readingOrder="2"/>
    </xf>
    <xf numFmtId="3" fontId="82" fillId="27" borderId="36" xfId="65" applyNumberFormat="1" applyFont="1" applyFill="1" applyBorder="1" applyAlignment="1">
      <alignment horizontal="center" vertical="center" readingOrder="2"/>
    </xf>
    <xf numFmtId="3" fontId="21" fillId="27" borderId="36" xfId="65" applyNumberFormat="1" applyFont="1" applyFill="1" applyBorder="1" applyAlignment="1">
      <alignment horizontal="center" vertical="center" readingOrder="1"/>
    </xf>
    <xf numFmtId="0" fontId="24" fillId="0" borderId="59" xfId="65" applyFont="1" applyFill="1" applyBorder="1" applyAlignment="1">
      <alignment horizontal="center" vertical="center" wrapText="1" readingOrder="2"/>
    </xf>
    <xf numFmtId="3" fontId="24" fillId="0" borderId="25" xfId="65" applyNumberFormat="1" applyFont="1" applyFill="1" applyBorder="1" applyAlignment="1">
      <alignment horizontal="center" vertical="center" readingOrder="2"/>
    </xf>
    <xf numFmtId="3" fontId="24" fillId="27" borderId="27" xfId="65" applyNumberFormat="1" applyFont="1" applyFill="1" applyBorder="1" applyAlignment="1">
      <alignment horizontal="center" vertical="center" readingOrder="2"/>
    </xf>
    <xf numFmtId="3" fontId="24" fillId="27" borderId="1" xfId="65" applyNumberFormat="1" applyFont="1" applyFill="1" applyBorder="1" applyAlignment="1">
      <alignment horizontal="center" vertical="center" readingOrder="2"/>
    </xf>
    <xf numFmtId="3" fontId="24" fillId="27" borderId="43" xfId="65" applyNumberFormat="1" applyFont="1" applyFill="1" applyBorder="1" applyAlignment="1">
      <alignment horizontal="center" vertical="center" readingOrder="2"/>
    </xf>
    <xf numFmtId="3" fontId="24" fillId="0" borderId="36" xfId="65" applyNumberFormat="1" applyFont="1" applyFill="1" applyBorder="1" applyAlignment="1">
      <alignment horizontal="center" vertical="center" readingOrder="2"/>
    </xf>
    <xf numFmtId="3" fontId="24" fillId="27" borderId="12" xfId="65" applyNumberFormat="1" applyFont="1" applyFill="1" applyBorder="1" applyAlignment="1">
      <alignment horizontal="center" vertical="center" readingOrder="2"/>
    </xf>
    <xf numFmtId="3" fontId="24" fillId="27" borderId="53" xfId="65" applyNumberFormat="1" applyFont="1" applyFill="1" applyBorder="1" applyAlignment="1">
      <alignment horizontal="center" vertical="center" readingOrder="2"/>
    </xf>
    <xf numFmtId="0" fontId="83" fillId="0" borderId="48" xfId="65" applyFont="1" applyFill="1" applyBorder="1" applyAlignment="1">
      <alignment horizontal="center" vertical="center" wrapText="1" readingOrder="2"/>
    </xf>
    <xf numFmtId="0" fontId="83" fillId="0" borderId="0" xfId="65" applyFont="1" applyFill="1" applyAlignment="1">
      <alignment horizontal="center" vertical="center" readingOrder="2"/>
    </xf>
    <xf numFmtId="0" fontId="83" fillId="0" borderId="0" xfId="73" applyFont="1"/>
    <xf numFmtId="0" fontId="83" fillId="0" borderId="0" xfId="69" applyFont="1"/>
    <xf numFmtId="4" fontId="84" fillId="0" borderId="27" xfId="77" applyNumberFormat="1" applyFont="1" applyFill="1" applyBorder="1" applyAlignment="1" applyProtection="1">
      <alignment horizontal="center" vertical="center"/>
      <protection locked="0"/>
    </xf>
    <xf numFmtId="3" fontId="83" fillId="0" borderId="0" xfId="65" applyNumberFormat="1" applyFont="1" applyFill="1" applyAlignment="1">
      <alignment horizontal="center" vertical="center" readingOrder="2"/>
    </xf>
    <xf numFmtId="3" fontId="83" fillId="0" borderId="0" xfId="73" applyNumberFormat="1" applyFont="1"/>
    <xf numFmtId="3" fontId="83" fillId="0" borderId="0" xfId="69" applyNumberFormat="1" applyFont="1"/>
    <xf numFmtId="3" fontId="70" fillId="27" borderId="37" xfId="65" applyNumberFormat="1" applyFont="1" applyFill="1" applyBorder="1" applyAlignment="1">
      <alignment horizontal="center" vertical="center" readingOrder="2"/>
    </xf>
    <xf numFmtId="3" fontId="24" fillId="0" borderId="1" xfId="73" applyNumberFormat="1" applyFont="1" applyFill="1" applyBorder="1" applyAlignment="1">
      <alignment horizontal="center" vertical="center"/>
    </xf>
    <xf numFmtId="3" fontId="24" fillId="0" borderId="15" xfId="65" applyNumberFormat="1" applyFont="1" applyFill="1" applyBorder="1" applyAlignment="1">
      <alignment horizontal="center" vertical="center"/>
    </xf>
    <xf numFmtId="3" fontId="21" fillId="0" borderId="36" xfId="65" applyNumberFormat="1" applyFont="1" applyFill="1" applyBorder="1" applyAlignment="1">
      <alignment horizontal="center" vertical="center" readingOrder="2"/>
    </xf>
    <xf numFmtId="3" fontId="21" fillId="27" borderId="27" xfId="65" applyNumberFormat="1" applyFont="1" applyFill="1" applyBorder="1" applyAlignment="1">
      <alignment horizontal="center" vertical="center" readingOrder="2"/>
    </xf>
    <xf numFmtId="3" fontId="83" fillId="27" borderId="27" xfId="65" applyNumberFormat="1" applyFont="1" applyFill="1" applyBorder="1" applyAlignment="1">
      <alignment horizontal="center" vertical="center" readingOrder="2"/>
    </xf>
    <xf numFmtId="3" fontId="84" fillId="27" borderId="37" xfId="65" applyNumberFormat="1" applyFont="1" applyFill="1" applyBorder="1" applyAlignment="1">
      <alignment horizontal="center" vertical="center" readingOrder="2"/>
    </xf>
    <xf numFmtId="2" fontId="28" fillId="0" borderId="31" xfId="77" applyNumberFormat="1" applyFont="1" applyFill="1" applyBorder="1" applyAlignment="1" applyProtection="1">
      <alignment horizontal="center" vertical="center"/>
      <protection locked="0"/>
    </xf>
    <xf numFmtId="3" fontId="86" fillId="0" borderId="29" xfId="77" applyNumberFormat="1" applyFont="1" applyFill="1" applyBorder="1" applyAlignment="1" applyProtection="1">
      <alignment horizontal="center" vertical="center"/>
      <protection locked="0"/>
    </xf>
    <xf numFmtId="0" fontId="24" fillId="0" borderId="73" xfId="65" applyFont="1" applyFill="1" applyBorder="1" applyAlignment="1">
      <alignment horizontal="center" vertical="center" readingOrder="2"/>
    </xf>
    <xf numFmtId="0" fontId="26" fillId="0" borderId="43" xfId="65" applyFont="1" applyFill="1" applyBorder="1" applyAlignment="1">
      <alignment horizontal="center" vertical="center" wrapText="1" readingOrder="2"/>
    </xf>
    <xf numFmtId="3" fontId="68" fillId="27" borderId="43" xfId="65" applyNumberFormat="1" applyFont="1" applyFill="1" applyBorder="1" applyAlignment="1">
      <alignment horizontal="center" vertical="center" readingOrder="2"/>
    </xf>
    <xf numFmtId="4" fontId="28" fillId="0" borderId="31" xfId="77" applyNumberFormat="1" applyFont="1" applyFill="1" applyBorder="1" applyAlignment="1" applyProtection="1">
      <alignment horizontal="center" vertical="center"/>
      <protection locked="0"/>
    </xf>
    <xf numFmtId="0" fontId="26" fillId="0" borderId="1" xfId="65" applyFont="1" applyFill="1" applyBorder="1" applyAlignment="1">
      <alignment horizontal="center" vertical="center" readingOrder="2"/>
    </xf>
    <xf numFmtId="0" fontId="24" fillId="0" borderId="43" xfId="65" applyFont="1" applyFill="1" applyBorder="1" applyAlignment="1">
      <alignment horizontal="center" vertical="center" readingOrder="2"/>
    </xf>
    <xf numFmtId="3" fontId="68" fillId="0" borderId="31" xfId="65" applyNumberFormat="1" applyFont="1" applyFill="1" applyBorder="1" applyAlignment="1">
      <alignment horizontal="center" vertical="center" readingOrder="2"/>
    </xf>
    <xf numFmtId="3" fontId="24" fillId="27" borderId="31" xfId="65" applyNumberFormat="1" applyFont="1" applyFill="1" applyBorder="1" applyAlignment="1">
      <alignment horizontal="center" vertical="center" readingOrder="2"/>
    </xf>
    <xf numFmtId="3" fontId="68" fillId="27" borderId="41" xfId="65" applyNumberFormat="1" applyFont="1" applyFill="1" applyBorder="1" applyAlignment="1">
      <alignment horizontal="center" vertical="center" readingOrder="2"/>
    </xf>
    <xf numFmtId="3" fontId="26" fillId="27" borderId="27" xfId="65" applyNumberFormat="1" applyFont="1" applyFill="1" applyBorder="1" applyAlignment="1">
      <alignment horizontal="center" vertical="center" shrinkToFit="1" readingOrder="1"/>
    </xf>
    <xf numFmtId="3" fontId="26" fillId="27" borderId="1" xfId="65" applyNumberFormat="1" applyFont="1" applyFill="1" applyBorder="1" applyAlignment="1">
      <alignment horizontal="center" vertical="center" shrinkToFit="1" readingOrder="1"/>
    </xf>
    <xf numFmtId="3" fontId="25" fillId="27" borderId="43" xfId="65" applyNumberFormat="1" applyFont="1" applyFill="1" applyBorder="1" applyAlignment="1">
      <alignment horizontal="center" vertical="center" shrinkToFit="1" readingOrder="1"/>
    </xf>
    <xf numFmtId="3" fontId="26" fillId="27" borderId="43" xfId="65" applyNumberFormat="1" applyFont="1" applyFill="1" applyBorder="1" applyAlignment="1">
      <alignment horizontal="center" vertical="center" shrinkToFit="1" readingOrder="1"/>
    </xf>
    <xf numFmtId="3" fontId="25" fillId="27" borderId="36" xfId="65" applyNumberFormat="1" applyFont="1" applyFill="1" applyBorder="1" applyAlignment="1">
      <alignment horizontal="center" vertical="center" shrinkToFit="1" readingOrder="1"/>
    </xf>
    <xf numFmtId="2" fontId="24" fillId="0" borderId="27" xfId="77" applyNumberFormat="1" applyFont="1" applyFill="1" applyBorder="1" applyAlignment="1" applyProtection="1">
      <alignment horizontal="center" vertical="center"/>
      <protection locked="0"/>
    </xf>
    <xf numFmtId="2" fontId="24" fillId="0" borderId="1" xfId="77" applyNumberFormat="1" applyFont="1" applyFill="1" applyBorder="1" applyAlignment="1" applyProtection="1">
      <alignment horizontal="center" vertical="center"/>
      <protection locked="0"/>
    </xf>
    <xf numFmtId="2" fontId="24" fillId="0" borderId="31" xfId="77" applyNumberFormat="1" applyFont="1" applyFill="1" applyBorder="1" applyAlignment="1" applyProtection="1">
      <alignment horizontal="center" vertical="center"/>
      <protection locked="0"/>
    </xf>
    <xf numFmtId="3" fontId="24" fillId="0" borderId="1" xfId="73" applyNumberFormat="1" applyFont="1" applyFill="1" applyBorder="1" applyAlignment="1">
      <alignment horizontal="center" vertical="center"/>
    </xf>
    <xf numFmtId="1" fontId="24" fillId="0" borderId="27" xfId="77" applyNumberFormat="1" applyFont="1" applyFill="1" applyBorder="1" applyAlignment="1" applyProtection="1">
      <alignment horizontal="center" vertical="center"/>
      <protection locked="0"/>
    </xf>
    <xf numFmtId="1" fontId="67" fillId="0" borderId="0" xfId="70" applyNumberFormat="1" applyFont="1" applyFill="1" applyBorder="1" applyAlignment="1"/>
    <xf numFmtId="0" fontId="27" fillId="0" borderId="0" xfId="70" applyFont="1" applyFill="1" applyBorder="1" applyAlignment="1"/>
    <xf numFmtId="3" fontId="56" fillId="0" borderId="0" xfId="70" applyNumberFormat="1" applyFont="1" applyFill="1" applyBorder="1" applyAlignment="1">
      <alignment horizontal="center"/>
    </xf>
    <xf numFmtId="0" fontId="2" fillId="0" borderId="0" xfId="70" applyFont="1" applyFill="1" applyBorder="1" applyAlignment="1">
      <alignment vertical="center"/>
    </xf>
    <xf numFmtId="0" fontId="100" fillId="0" borderId="0" xfId="70" applyFont="1" applyFill="1" applyBorder="1" applyAlignment="1">
      <alignment vertical="center"/>
    </xf>
    <xf numFmtId="0" fontId="27" fillId="0" borderId="0" xfId="70" applyFont="1" applyFill="1" applyBorder="1" applyAlignment="1">
      <alignment vertical="center"/>
    </xf>
    <xf numFmtId="0" fontId="67" fillId="0" borderId="0" xfId="70" applyFont="1" applyFill="1" applyBorder="1" applyAlignment="1">
      <alignment horizontal="right" vertical="center"/>
    </xf>
    <xf numFmtId="0" fontId="67" fillId="0" borderId="0" xfId="70" applyFont="1" applyFill="1" applyBorder="1" applyAlignment="1">
      <alignment vertical="center"/>
    </xf>
    <xf numFmtId="4" fontId="27" fillId="0" borderId="0" xfId="70" applyNumberFormat="1" applyFont="1" applyFill="1" applyBorder="1" applyAlignment="1">
      <alignment vertical="center"/>
    </xf>
    <xf numFmtId="0" fontId="2" fillId="0" borderId="0" xfId="70" applyFont="1" applyFill="1" applyBorder="1" applyAlignment="1">
      <alignment horizontal="center" vertical="center"/>
    </xf>
    <xf numFmtId="0" fontId="104" fillId="28" borderId="75" xfId="70" applyFont="1" applyFill="1" applyBorder="1" applyAlignment="1">
      <alignment horizontal="center" vertical="center"/>
    </xf>
    <xf numFmtId="0" fontId="26" fillId="0" borderId="43" xfId="70" applyFont="1" applyFill="1" applyBorder="1" applyAlignment="1">
      <alignment horizontal="center" vertical="center"/>
    </xf>
    <xf numFmtId="0" fontId="26" fillId="0" borderId="27" xfId="70" applyFont="1" applyFill="1" applyBorder="1" applyAlignment="1">
      <alignment horizontal="center" vertical="center"/>
    </xf>
    <xf numFmtId="0" fontId="26" fillId="0" borderId="80" xfId="70" applyFont="1" applyFill="1" applyBorder="1" applyAlignment="1">
      <alignment horizontal="center" vertical="center"/>
    </xf>
    <xf numFmtId="0" fontId="67" fillId="0" borderId="0" xfId="70" applyFont="1" applyFill="1" applyBorder="1" applyAlignment="1">
      <alignment horizontal="center" vertical="center"/>
    </xf>
    <xf numFmtId="0" fontId="27" fillId="0" borderId="0" xfId="70" applyFont="1" applyFill="1" applyBorder="1" applyAlignment="1">
      <alignment horizontal="center" vertical="center"/>
    </xf>
    <xf numFmtId="3" fontId="57" fillId="0" borderId="0" xfId="70" applyNumberFormat="1" applyFont="1" applyFill="1" applyBorder="1" applyAlignment="1">
      <alignment horizontal="center"/>
    </xf>
    <xf numFmtId="4" fontId="51" fillId="0" borderId="0" xfId="70" applyNumberFormat="1" applyFont="1" applyFill="1" applyBorder="1" applyAlignment="1">
      <alignment horizontal="center"/>
    </xf>
    <xf numFmtId="4" fontId="51" fillId="0" borderId="0" xfId="70" applyNumberFormat="1" applyFont="1" applyFill="1" applyBorder="1" applyAlignment="1">
      <alignment horizontal="center" vertical="center"/>
    </xf>
    <xf numFmtId="0" fontId="2" fillId="0" borderId="0" xfId="219" applyFill="1"/>
    <xf numFmtId="0" fontId="109" fillId="0" borderId="0" xfId="220" applyFont="1" applyFill="1" applyAlignment="1"/>
    <xf numFmtId="0" fontId="106" fillId="0" borderId="0" xfId="220" applyFont="1" applyFill="1" applyAlignment="1"/>
    <xf numFmtId="0" fontId="110" fillId="0" borderId="78" xfId="221" applyFont="1" applyFill="1" applyBorder="1"/>
    <xf numFmtId="0" fontId="110" fillId="0" borderId="19" xfId="221" applyFont="1" applyFill="1" applyBorder="1"/>
    <xf numFmtId="0" fontId="110" fillId="0" borderId="81" xfId="221" applyFont="1" applyFill="1" applyBorder="1"/>
    <xf numFmtId="0" fontId="23" fillId="0" borderId="19" xfId="221" applyFont="1" applyFill="1" applyBorder="1"/>
    <xf numFmtId="0" fontId="23" fillId="0" borderId="78" xfId="221" applyFont="1" applyFill="1" applyBorder="1"/>
    <xf numFmtId="0" fontId="23" fillId="0" borderId="81" xfId="221" applyFont="1" applyFill="1" applyBorder="1"/>
    <xf numFmtId="0" fontId="110" fillId="0" borderId="0" xfId="221" applyFont="1" applyFill="1" applyBorder="1"/>
    <xf numFmtId="0" fontId="110" fillId="0" borderId="23" xfId="221" applyFont="1" applyFill="1" applyBorder="1"/>
    <xf numFmtId="0" fontId="23" fillId="0" borderId="0" xfId="221" applyFont="1" applyFill="1" applyBorder="1"/>
    <xf numFmtId="0" fontId="23" fillId="0" borderId="23" xfId="221" applyFont="1" applyFill="1" applyBorder="1"/>
    <xf numFmtId="0" fontId="110" fillId="0" borderId="20" xfId="221" applyFont="1" applyFill="1" applyBorder="1"/>
    <xf numFmtId="0" fontId="23" fillId="0" borderId="20" xfId="221" applyFont="1" applyFill="1" applyBorder="1"/>
    <xf numFmtId="3" fontId="110" fillId="0" borderId="0" xfId="221" applyNumberFormat="1" applyFont="1" applyFill="1" applyBorder="1" applyAlignment="1"/>
    <xf numFmtId="0" fontId="110" fillId="0" borderId="23" xfId="221" applyNumberFormat="1" applyFont="1" applyFill="1" applyBorder="1" applyAlignment="1" applyProtection="1">
      <alignment horizontal="center" vertical="top" shrinkToFit="1"/>
      <protection locked="0"/>
    </xf>
    <xf numFmtId="0" fontId="23" fillId="0" borderId="0" xfId="221" applyNumberFormat="1" applyFont="1" applyFill="1" applyBorder="1" applyAlignment="1" applyProtection="1">
      <alignment horizontal="center" vertical="top" shrinkToFit="1"/>
      <protection locked="0"/>
    </xf>
    <xf numFmtId="0" fontId="110" fillId="0" borderId="0" xfId="221" applyNumberFormat="1" applyFont="1" applyFill="1" applyBorder="1" applyAlignment="1" applyProtection="1">
      <alignment horizontal="center" vertical="top" shrinkToFit="1"/>
      <protection locked="0"/>
    </xf>
    <xf numFmtId="3" fontId="23" fillId="0" borderId="0" xfId="221" applyNumberFormat="1" applyFont="1" applyFill="1" applyBorder="1" applyAlignment="1"/>
    <xf numFmtId="0" fontId="23" fillId="0" borderId="23" xfId="221" applyNumberFormat="1" applyFont="1" applyFill="1" applyBorder="1" applyAlignment="1" applyProtection="1">
      <alignment horizontal="center" vertical="top" shrinkToFit="1"/>
      <protection locked="0"/>
    </xf>
    <xf numFmtId="0" fontId="110" fillId="0" borderId="82" xfId="221" applyNumberFormat="1" applyFont="1" applyFill="1" applyBorder="1" applyAlignment="1" applyProtection="1">
      <alignment horizontal="center" vertical="top" shrinkToFit="1"/>
      <protection locked="0"/>
    </xf>
    <xf numFmtId="0" fontId="23" fillId="0" borderId="26" xfId="221" applyNumberFormat="1" applyFont="1" applyFill="1" applyBorder="1" applyAlignment="1" applyProtection="1">
      <alignment horizontal="center" vertical="top" shrinkToFit="1"/>
      <protection locked="0"/>
    </xf>
    <xf numFmtId="0" fontId="110" fillId="0" borderId="26" xfId="221" applyNumberFormat="1" applyFont="1" applyFill="1" applyBorder="1" applyAlignment="1" applyProtection="1">
      <alignment horizontal="center" vertical="top" shrinkToFit="1"/>
      <protection locked="0"/>
    </xf>
    <xf numFmtId="0" fontId="23" fillId="0" borderId="82" xfId="221" applyNumberFormat="1" applyFont="1" applyFill="1" applyBorder="1" applyAlignment="1" applyProtection="1">
      <alignment horizontal="center" vertical="top" shrinkToFit="1"/>
      <protection locked="0"/>
    </xf>
    <xf numFmtId="0" fontId="111" fillId="0" borderId="0" xfId="69" applyFont="1" applyFill="1" applyBorder="1" applyAlignment="1">
      <alignment horizontal="center" vertical="center"/>
    </xf>
    <xf numFmtId="0" fontId="105" fillId="0" borderId="0" xfId="69" applyFont="1" applyFill="1" applyBorder="1" applyAlignment="1">
      <alignment horizontal="center" vertical="center"/>
    </xf>
    <xf numFmtId="0" fontId="112" fillId="0" borderId="0" xfId="69" applyFont="1" applyFill="1" applyBorder="1" applyAlignment="1">
      <alignment horizontal="center" vertical="center"/>
    </xf>
    <xf numFmtId="2" fontId="113" fillId="27" borderId="1" xfId="0" applyNumberFormat="1" applyFont="1" applyFill="1" applyBorder="1" applyAlignment="1">
      <alignment horizontal="center" vertical="center"/>
    </xf>
    <xf numFmtId="4" fontId="103" fillId="28" borderId="76" xfId="70" applyNumberFormat="1" applyFont="1" applyFill="1" applyBorder="1" applyAlignment="1">
      <alignment horizontal="center" vertical="center"/>
    </xf>
    <xf numFmtId="4" fontId="24" fillId="0" borderId="80" xfId="70" applyNumberFormat="1" applyFont="1" applyFill="1" applyBorder="1" applyAlignment="1">
      <alignment horizontal="center" vertical="center"/>
    </xf>
    <xf numFmtId="4" fontId="103" fillId="28" borderId="29" xfId="70" applyNumberFormat="1" applyFont="1" applyFill="1" applyBorder="1" applyAlignment="1">
      <alignment horizontal="center" vertical="center"/>
    </xf>
    <xf numFmtId="3" fontId="70" fillId="27" borderId="27" xfId="65" applyNumberFormat="1" applyFont="1" applyFill="1" applyBorder="1" applyAlignment="1">
      <alignment horizontal="center" vertical="center" readingOrder="2"/>
    </xf>
    <xf numFmtId="3" fontId="70" fillId="27" borderId="43" xfId="65" applyNumberFormat="1" applyFont="1" applyFill="1" applyBorder="1" applyAlignment="1">
      <alignment horizontal="center" vertical="center" readingOrder="2"/>
    </xf>
    <xf numFmtId="3" fontId="70" fillId="0" borderId="27" xfId="65" applyNumberFormat="1" applyFont="1" applyFill="1" applyBorder="1" applyAlignment="1">
      <alignment horizontal="center" vertical="center" readingOrder="2"/>
    </xf>
    <xf numFmtId="3" fontId="21" fillId="0" borderId="0" xfId="73" applyNumberFormat="1" applyFont="1"/>
    <xf numFmtId="3" fontId="24" fillId="0" borderId="1" xfId="73" applyNumberFormat="1" applyFont="1" applyFill="1" applyBorder="1" applyAlignment="1">
      <alignment horizontal="center" vertical="center"/>
    </xf>
    <xf numFmtId="1" fontId="87" fillId="27" borderId="1" xfId="0" applyNumberFormat="1" applyFont="1" applyFill="1" applyBorder="1" applyAlignment="1">
      <alignment horizontal="center" vertical="center"/>
    </xf>
    <xf numFmtId="2" fontId="115" fillId="27" borderId="1" xfId="0" applyNumberFormat="1" applyFont="1" applyFill="1" applyBorder="1" applyAlignment="1">
      <alignment horizontal="center" vertical="center"/>
    </xf>
    <xf numFmtId="1" fontId="25" fillId="27" borderId="1" xfId="0" applyNumberFormat="1" applyFont="1" applyFill="1" applyBorder="1" applyAlignment="1">
      <alignment horizontal="center" vertical="center"/>
    </xf>
    <xf numFmtId="2" fontId="116" fillId="27" borderId="1" xfId="0" applyNumberFormat="1" applyFont="1" applyFill="1" applyBorder="1" applyAlignment="1">
      <alignment horizontal="center" vertical="center"/>
    </xf>
    <xf numFmtId="0" fontId="117" fillId="32" borderId="0" xfId="221" applyFont="1" applyFill="1" applyAlignment="1">
      <alignment horizontal="center" vertical="center"/>
    </xf>
    <xf numFmtId="0" fontId="119" fillId="0" borderId="0" xfId="221" applyFont="1" applyAlignment="1">
      <alignment horizontal="center" vertical="center" wrapText="1"/>
    </xf>
    <xf numFmtId="0" fontId="118" fillId="0" borderId="1" xfId="221" applyFont="1" applyBorder="1" applyAlignment="1">
      <alignment horizontal="center" vertical="center" wrapText="1"/>
    </xf>
    <xf numFmtId="0" fontId="119" fillId="0" borderId="1" xfId="221" applyFont="1" applyBorder="1" applyAlignment="1">
      <alignment horizontal="center" vertical="center" wrapText="1"/>
    </xf>
    <xf numFmtId="182" fontId="119" fillId="0" borderId="1" xfId="222" applyNumberFormat="1" applyFont="1" applyBorder="1" applyAlignment="1">
      <alignment horizontal="center" vertical="center" wrapText="1"/>
    </xf>
    <xf numFmtId="2" fontId="119" fillId="0" borderId="1" xfId="222" applyNumberFormat="1" applyFont="1" applyBorder="1" applyAlignment="1">
      <alignment horizontal="center" vertical="center" wrapText="1"/>
    </xf>
    <xf numFmtId="1" fontId="119" fillId="0" borderId="1" xfId="222" applyNumberFormat="1" applyFont="1" applyBorder="1" applyAlignment="1">
      <alignment horizontal="center" vertical="center" wrapText="1"/>
    </xf>
    <xf numFmtId="3" fontId="119" fillId="0" borderId="1" xfId="222" applyNumberFormat="1" applyFont="1" applyBorder="1" applyAlignment="1">
      <alignment horizontal="center" vertical="center" wrapText="1"/>
    </xf>
    <xf numFmtId="0" fontId="118" fillId="0" borderId="0" xfId="221" applyFont="1" applyAlignment="1">
      <alignment horizontal="center" vertical="center"/>
    </xf>
    <xf numFmtId="0" fontId="119" fillId="0" borderId="1" xfId="221" applyFont="1" applyBorder="1" applyAlignment="1">
      <alignment horizontal="center" vertical="center"/>
    </xf>
    <xf numFmtId="0" fontId="119" fillId="0" borderId="0" xfId="221" applyFont="1" applyAlignment="1">
      <alignment horizontal="center" vertical="center"/>
    </xf>
    <xf numFmtId="2" fontId="83" fillId="27" borderId="1" xfId="0" applyNumberFormat="1" applyFont="1" applyFill="1" applyBorder="1" applyAlignment="1">
      <alignment horizontal="center" vertical="center"/>
    </xf>
    <xf numFmtId="1" fontId="21" fillId="0" borderId="27" xfId="77" applyNumberFormat="1" applyFont="1" applyFill="1" applyBorder="1" applyAlignment="1" applyProtection="1">
      <alignment horizontal="center" vertical="center"/>
      <protection locked="0"/>
    </xf>
    <xf numFmtId="2" fontId="28" fillId="0" borderId="1" xfId="219" applyNumberFormat="1" applyFont="1" applyFill="1" applyBorder="1" applyAlignment="1" applyProtection="1">
      <alignment horizontal="right" vertical="center" wrapText="1"/>
      <protection locked="0"/>
    </xf>
    <xf numFmtId="49" fontId="87" fillId="27" borderId="1" xfId="0" applyNumberFormat="1" applyFont="1" applyFill="1" applyBorder="1" applyAlignment="1">
      <alignment horizontal="center" vertical="center"/>
    </xf>
    <xf numFmtId="0" fontId="83" fillId="0" borderId="73" xfId="65" applyFont="1" applyFill="1" applyBorder="1" applyAlignment="1">
      <alignment horizontal="center" vertical="center" readingOrder="2"/>
    </xf>
    <xf numFmtId="0" fontId="21" fillId="0" borderId="27" xfId="65" applyFont="1" applyFill="1" applyBorder="1" applyAlignment="1">
      <alignment horizontal="center" vertical="center" wrapText="1" readingOrder="2"/>
    </xf>
    <xf numFmtId="0" fontId="67" fillId="0" borderId="28" xfId="70" applyFont="1" applyFill="1" applyBorder="1" applyAlignment="1">
      <alignment horizontal="center" vertical="center"/>
    </xf>
    <xf numFmtId="0" fontId="27" fillId="0" borderId="28" xfId="70" applyFont="1" applyFill="1" applyBorder="1" applyAlignment="1">
      <alignment horizontal="center" vertical="center"/>
    </xf>
    <xf numFmtId="3" fontId="57" fillId="0" borderId="28" xfId="70" applyNumberFormat="1" applyFont="1" applyFill="1" applyBorder="1" applyAlignment="1">
      <alignment horizontal="center"/>
    </xf>
    <xf numFmtId="4" fontId="51" fillId="0" borderId="28" xfId="70" applyNumberFormat="1" applyFont="1" applyFill="1" applyBorder="1" applyAlignment="1">
      <alignment horizontal="center"/>
    </xf>
    <xf numFmtId="4" fontId="51" fillId="0" borderId="28" xfId="70" applyNumberFormat="1" applyFont="1" applyFill="1" applyBorder="1" applyAlignment="1">
      <alignment horizontal="center" vertical="center"/>
    </xf>
    <xf numFmtId="0" fontId="67" fillId="31" borderId="1" xfId="70" applyNumberFormat="1" applyFont="1" applyFill="1" applyBorder="1" applyAlignment="1">
      <alignment horizontal="center" vertical="center"/>
    </xf>
    <xf numFmtId="0" fontId="101" fillId="31" borderId="39" xfId="70" applyNumberFormat="1" applyFont="1" applyFill="1" applyBorder="1" applyAlignment="1">
      <alignment horizontal="center" vertical="center"/>
    </xf>
    <xf numFmtId="3" fontId="101" fillId="31" borderId="39" xfId="70" applyNumberFormat="1" applyFont="1" applyFill="1" applyBorder="1" applyAlignment="1">
      <alignment horizontal="center" vertical="center"/>
    </xf>
    <xf numFmtId="4" fontId="102" fillId="31" borderId="1" xfId="70" applyNumberFormat="1" applyFont="1" applyFill="1" applyBorder="1" applyAlignment="1">
      <alignment horizontal="center" vertical="center"/>
    </xf>
    <xf numFmtId="180" fontId="21" fillId="0" borderId="1" xfId="65" applyNumberFormat="1" applyFont="1" applyFill="1" applyBorder="1" applyAlignment="1">
      <alignment horizontal="center" vertical="center" readingOrder="2"/>
    </xf>
    <xf numFmtId="3" fontId="24" fillId="0" borderId="1" xfId="73" applyNumberFormat="1" applyFont="1" applyFill="1" applyBorder="1" applyAlignment="1">
      <alignment horizontal="center" vertical="center"/>
    </xf>
    <xf numFmtId="0" fontId="22" fillId="0" borderId="43" xfId="70" applyFont="1" applyFill="1" applyBorder="1" applyAlignment="1">
      <alignment horizontal="center" vertical="center"/>
    </xf>
    <xf numFmtId="4" fontId="27" fillId="0" borderId="0" xfId="70" applyNumberFormat="1" applyFont="1" applyFill="1" applyBorder="1" applyAlignment="1">
      <alignment horizontal="center"/>
    </xf>
    <xf numFmtId="4" fontId="29" fillId="0" borderId="0" xfId="70" applyNumberFormat="1" applyFont="1" applyFill="1" applyBorder="1" applyAlignment="1">
      <alignment horizontal="center" vertical="center"/>
    </xf>
    <xf numFmtId="4" fontId="27" fillId="0" borderId="0" xfId="70" applyNumberFormat="1" applyFont="1" applyFill="1" applyBorder="1" applyAlignment="1">
      <alignment horizontal="center" vertical="center"/>
    </xf>
    <xf numFmtId="0" fontId="22" fillId="0" borderId="31" xfId="70" applyFont="1" applyFill="1" applyBorder="1" applyAlignment="1">
      <alignment horizontal="center" vertical="center"/>
    </xf>
    <xf numFmtId="0" fontId="22" fillId="0" borderId="27" xfId="70" applyFont="1" applyFill="1" applyBorder="1" applyAlignment="1">
      <alignment horizontal="center" vertical="center"/>
    </xf>
    <xf numFmtId="4" fontId="30" fillId="0" borderId="74" xfId="70" applyNumberFormat="1" applyFont="1" applyFill="1" applyBorder="1" applyAlignment="1">
      <alignment horizontal="center" vertical="center"/>
    </xf>
    <xf numFmtId="4" fontId="30" fillId="0" borderId="79" xfId="70" applyNumberFormat="1" applyFont="1" applyFill="1" applyBorder="1" applyAlignment="1">
      <alignment horizontal="center" vertical="center"/>
    </xf>
    <xf numFmtId="180" fontId="21" fillId="0" borderId="43" xfId="65" applyNumberFormat="1" applyFont="1" applyFill="1" applyBorder="1" applyAlignment="1">
      <alignment horizontal="center" vertical="center" readingOrder="2"/>
    </xf>
    <xf numFmtId="0" fontId="25" fillId="0" borderId="27" xfId="65" applyFont="1" applyFill="1" applyBorder="1" applyAlignment="1">
      <alignment horizontal="center" vertical="center" wrapText="1" readingOrder="2"/>
    </xf>
    <xf numFmtId="0" fontId="28" fillId="0" borderId="27" xfId="65" applyFont="1" applyFill="1" applyBorder="1" applyAlignment="1">
      <alignment horizontal="center" vertical="center" wrapText="1" readingOrder="2"/>
    </xf>
    <xf numFmtId="2" fontId="87" fillId="27" borderId="31" xfId="0" applyNumberFormat="1" applyFont="1" applyFill="1" applyBorder="1" applyAlignment="1">
      <alignment horizontal="center" vertical="center"/>
    </xf>
    <xf numFmtId="4" fontId="27" fillId="0" borderId="0" xfId="70" applyNumberFormat="1" applyFont="1" applyFill="1" applyBorder="1" applyAlignment="1"/>
    <xf numFmtId="4" fontId="29" fillId="0" borderId="0" xfId="70" applyNumberFormat="1" applyFont="1" applyFill="1" applyBorder="1" applyAlignment="1">
      <alignment vertical="center"/>
    </xf>
    <xf numFmtId="4" fontId="30" fillId="0" borderId="43" xfId="70" applyNumberFormat="1" applyFont="1" applyFill="1" applyBorder="1" applyAlignment="1">
      <alignment horizontal="center" vertical="center"/>
    </xf>
    <xf numFmtId="4" fontId="30" fillId="28" borderId="77" xfId="70" applyNumberFormat="1" applyFont="1" applyFill="1" applyBorder="1" applyAlignment="1">
      <alignment horizontal="center" vertical="center"/>
    </xf>
    <xf numFmtId="4" fontId="30" fillId="0" borderId="27" xfId="70" applyNumberFormat="1" applyFont="1" applyFill="1" applyBorder="1" applyAlignment="1">
      <alignment horizontal="center" vertical="center"/>
    </xf>
    <xf numFmtId="4" fontId="30" fillId="28" borderId="75" xfId="70" applyNumberFormat="1" applyFont="1" applyFill="1" applyBorder="1" applyAlignment="1">
      <alignment horizontal="center" vertical="center"/>
    </xf>
    <xf numFmtId="4" fontId="30" fillId="0" borderId="80" xfId="70" applyNumberFormat="1" applyFont="1" applyFill="1" applyBorder="1" applyAlignment="1">
      <alignment horizontal="center" vertical="center"/>
    </xf>
    <xf numFmtId="4" fontId="30" fillId="0" borderId="85" xfId="70" applyNumberFormat="1" applyFont="1" applyFill="1" applyBorder="1" applyAlignment="1">
      <alignment horizontal="center" vertical="center"/>
    </xf>
    <xf numFmtId="3" fontId="103" fillId="28" borderId="75" xfId="70" applyNumberFormat="1" applyFont="1" applyFill="1" applyBorder="1" applyAlignment="1">
      <alignment horizontal="center" vertical="center"/>
    </xf>
    <xf numFmtId="3" fontId="103" fillId="28" borderId="31" xfId="70" applyNumberFormat="1" applyFont="1" applyFill="1" applyBorder="1" applyAlignment="1">
      <alignment horizontal="center" vertical="center"/>
    </xf>
    <xf numFmtId="1" fontId="67" fillId="0" borderId="43" xfId="70" applyNumberFormat="1" applyFont="1" applyFill="1" applyBorder="1" applyAlignment="1">
      <alignment horizontal="center" vertical="center"/>
    </xf>
    <xf numFmtId="1" fontId="67" fillId="0" borderId="31" xfId="70" applyNumberFormat="1" applyFont="1" applyFill="1" applyBorder="1" applyAlignment="1">
      <alignment horizontal="center" vertical="center"/>
    </xf>
    <xf numFmtId="1" fontId="67" fillId="0" borderId="27" xfId="70" applyNumberFormat="1" applyFont="1" applyFill="1" applyBorder="1" applyAlignment="1">
      <alignment horizontal="center" vertical="center"/>
    </xf>
    <xf numFmtId="2" fontId="115" fillId="27" borderId="1" xfId="0" applyNumberFormat="1" applyFont="1" applyFill="1" applyBorder="1" applyAlignment="1">
      <alignment horizontal="center" vertical="center" shrinkToFit="1"/>
    </xf>
    <xf numFmtId="1" fontId="67" fillId="0" borderId="27" xfId="70" applyNumberFormat="1" applyFont="1" applyFill="1" applyBorder="1" applyAlignment="1">
      <alignment horizontal="center" vertical="top"/>
    </xf>
    <xf numFmtId="2" fontId="83" fillId="0" borderId="27" xfId="65" applyNumberFormat="1" applyFont="1" applyFill="1" applyBorder="1" applyAlignment="1" applyProtection="1">
      <alignment horizontal="right" vertical="center" wrapText="1"/>
      <protection locked="0"/>
    </xf>
    <xf numFmtId="2" fontId="69" fillId="27" borderId="31" xfId="0" applyNumberFormat="1" applyFont="1" applyFill="1" applyBorder="1" applyAlignment="1">
      <alignment horizontal="center" vertical="center"/>
    </xf>
    <xf numFmtId="2" fontId="114" fillId="0" borderId="27" xfId="65" applyNumberFormat="1" applyFont="1" applyFill="1" applyBorder="1" applyAlignment="1" applyProtection="1">
      <alignment horizontal="right" vertical="center" wrapText="1"/>
      <protection locked="0"/>
    </xf>
    <xf numFmtId="3" fontId="24" fillId="0" borderId="1" xfId="73" applyNumberFormat="1" applyFont="1" applyFill="1" applyBorder="1" applyAlignment="1">
      <alignment horizontal="center" vertical="center"/>
    </xf>
    <xf numFmtId="0" fontId="27" fillId="0" borderId="0" xfId="70" applyFont="1" applyFill="1" applyBorder="1" applyAlignment="1">
      <alignment horizontal="center" vertical="center"/>
    </xf>
    <xf numFmtId="0" fontId="21" fillId="27" borderId="0" xfId="0" applyFont="1" applyFill="1"/>
    <xf numFmtId="1" fontId="91" fillId="27" borderId="1" xfId="0" applyNumberFormat="1" applyFont="1" applyFill="1" applyBorder="1" applyAlignment="1">
      <alignment horizontal="center" vertical="center"/>
    </xf>
    <xf numFmtId="1" fontId="82" fillId="27" borderId="1" xfId="0" applyNumberFormat="1" applyFont="1" applyFill="1" applyBorder="1" applyAlignment="1">
      <alignment vertical="center"/>
    </xf>
    <xf numFmtId="1" fontId="113" fillId="27" borderId="1" xfId="0" applyNumberFormat="1" applyFont="1" applyFill="1" applyBorder="1" applyAlignment="1">
      <alignment vertical="center" readingOrder="2"/>
    </xf>
    <xf numFmtId="4" fontId="87" fillId="27" borderId="1" xfId="0" applyNumberFormat="1" applyFont="1" applyFill="1" applyBorder="1" applyAlignment="1">
      <alignment horizontal="center" vertical="center"/>
    </xf>
    <xf numFmtId="4" fontId="69" fillId="27" borderId="1" xfId="0" applyNumberFormat="1" applyFont="1" applyFill="1" applyBorder="1" applyAlignment="1">
      <alignment horizontal="center" vertical="center"/>
    </xf>
    <xf numFmtId="1" fontId="94" fillId="27" borderId="1" xfId="0" applyNumberFormat="1" applyFont="1" applyFill="1" applyBorder="1" applyAlignment="1">
      <alignment horizontal="center" vertical="distributed" readingOrder="2"/>
    </xf>
    <xf numFmtId="4" fontId="115" fillId="27" borderId="1" xfId="0" applyNumberFormat="1" applyFont="1" applyFill="1" applyBorder="1" applyAlignment="1">
      <alignment horizontal="center" vertical="center"/>
    </xf>
    <xf numFmtId="4" fontId="122" fillId="27" borderId="1" xfId="0" applyNumberFormat="1" applyFont="1" applyFill="1" applyBorder="1" applyAlignment="1">
      <alignment horizontal="center" vertical="center"/>
    </xf>
    <xf numFmtId="4" fontId="84" fillId="27" borderId="1" xfId="0" applyNumberFormat="1" applyFont="1" applyFill="1" applyBorder="1" applyAlignment="1">
      <alignment horizontal="center" vertical="center"/>
    </xf>
    <xf numFmtId="4" fontId="87" fillId="27" borderId="1" xfId="0" applyNumberFormat="1" applyFont="1" applyFill="1" applyBorder="1" applyAlignment="1">
      <alignment horizontal="center" vertical="center" shrinkToFit="1"/>
    </xf>
    <xf numFmtId="4" fontId="91" fillId="27" borderId="1" xfId="0" applyNumberFormat="1" applyFont="1" applyFill="1" applyBorder="1" applyAlignment="1">
      <alignment horizontal="center" vertical="center"/>
    </xf>
    <xf numFmtId="0" fontId="82" fillId="27" borderId="0" xfId="0" applyFont="1" applyFill="1"/>
    <xf numFmtId="3" fontId="24" fillId="0" borderId="0" xfId="219" applyNumberFormat="1" applyFont="1" applyFill="1" applyAlignment="1">
      <alignment horizontal="center" vertical="center" readingOrder="2"/>
    </xf>
    <xf numFmtId="3" fontId="71" fillId="29" borderId="0" xfId="219" applyNumberFormat="1" applyFont="1" applyFill="1" applyAlignment="1">
      <alignment horizontal="center" vertical="center" readingOrder="2"/>
    </xf>
    <xf numFmtId="3" fontId="21" fillId="0" borderId="0" xfId="219" applyNumberFormat="1" applyFont="1" applyFill="1" applyAlignment="1">
      <alignment horizontal="center" vertical="center" readingOrder="2"/>
    </xf>
    <xf numFmtId="0" fontId="21" fillId="0" borderId="0" xfId="219" applyFont="1" applyFill="1" applyAlignment="1">
      <alignment horizontal="center" vertical="center" readingOrder="2"/>
    </xf>
    <xf numFmtId="3" fontId="26" fillId="0" borderId="0" xfId="219" applyNumberFormat="1" applyFont="1" applyFill="1" applyAlignment="1">
      <alignment horizontal="center" vertical="center" readingOrder="2"/>
    </xf>
    <xf numFmtId="3" fontId="72" fillId="30" borderId="0" xfId="219" applyNumberFormat="1" applyFont="1" applyFill="1" applyAlignment="1">
      <alignment horizontal="center" vertical="center" readingOrder="2"/>
    </xf>
    <xf numFmtId="3" fontId="75" fillId="0" borderId="0" xfId="219" applyNumberFormat="1" applyFont="1" applyFill="1" applyAlignment="1">
      <alignment horizontal="center" vertical="center" readingOrder="2"/>
    </xf>
    <xf numFmtId="0" fontId="24" fillId="0" borderId="59" xfId="219" applyFont="1" applyFill="1" applyBorder="1" applyAlignment="1">
      <alignment horizontal="center" vertical="center" wrapText="1" readingOrder="2"/>
    </xf>
    <xf numFmtId="0" fontId="69" fillId="0" borderId="59" xfId="219" applyFont="1" applyFill="1" applyBorder="1" applyAlignment="1">
      <alignment horizontal="center" vertical="center" wrapText="1" readingOrder="2"/>
    </xf>
    <xf numFmtId="0" fontId="83" fillId="0" borderId="48" xfId="219" applyFont="1" applyFill="1" applyBorder="1" applyAlignment="1">
      <alignment horizontal="center" vertical="center" wrapText="1" readingOrder="2"/>
    </xf>
    <xf numFmtId="0" fontId="69" fillId="0" borderId="46" xfId="219" applyFont="1" applyFill="1" applyBorder="1" applyAlignment="1">
      <alignment horizontal="center" vertical="center" wrapText="1" readingOrder="2"/>
    </xf>
    <xf numFmtId="0" fontId="25" fillId="0" borderId="16" xfId="219" applyFont="1" applyFill="1" applyBorder="1" applyAlignment="1">
      <alignment horizontal="center" vertical="center" readingOrder="2"/>
    </xf>
    <xf numFmtId="0" fontId="28" fillId="0" borderId="17" xfId="219" applyFont="1" applyFill="1" applyBorder="1" applyAlignment="1">
      <alignment horizontal="center" vertical="center" readingOrder="2"/>
    </xf>
    <xf numFmtId="3" fontId="22" fillId="27" borderId="1" xfId="219" applyNumberFormat="1" applyFont="1" applyFill="1" applyBorder="1" applyAlignment="1">
      <alignment horizontal="center" vertical="center" readingOrder="1"/>
    </xf>
    <xf numFmtId="3" fontId="24" fillId="27" borderId="53" xfId="219" applyNumberFormat="1" applyFont="1" applyFill="1" applyBorder="1" applyAlignment="1">
      <alignment horizontal="center" vertical="center" readingOrder="2"/>
    </xf>
    <xf numFmtId="3" fontId="69" fillId="27" borderId="53" xfId="219" applyNumberFormat="1" applyFont="1" applyFill="1" applyBorder="1" applyAlignment="1">
      <alignment horizontal="center" vertical="center" readingOrder="2"/>
    </xf>
    <xf numFmtId="3" fontId="24" fillId="27" borderId="12" xfId="219" applyNumberFormat="1" applyFont="1" applyFill="1" applyBorder="1" applyAlignment="1">
      <alignment horizontal="center" vertical="center" readingOrder="2"/>
    </xf>
    <xf numFmtId="3" fontId="69" fillId="27" borderId="12" xfId="219" applyNumberFormat="1" applyFont="1" applyFill="1" applyBorder="1" applyAlignment="1">
      <alignment horizontal="center" vertical="center" readingOrder="2"/>
    </xf>
    <xf numFmtId="3" fontId="24" fillId="0" borderId="0" xfId="219" applyNumberFormat="1" applyFont="1" applyFill="1" applyBorder="1" applyAlignment="1">
      <alignment horizontal="center" vertical="center" readingOrder="2"/>
    </xf>
    <xf numFmtId="3" fontId="96" fillId="0" borderId="0" xfId="219" applyNumberFormat="1" applyFont="1" applyFill="1" applyBorder="1" applyAlignment="1">
      <alignment horizontal="center" vertical="center" readingOrder="2"/>
    </xf>
    <xf numFmtId="3" fontId="22" fillId="0" borderId="0" xfId="219" applyNumberFormat="1" applyFont="1" applyFill="1" applyBorder="1" applyAlignment="1">
      <alignment horizontal="center" vertical="center" readingOrder="2"/>
    </xf>
    <xf numFmtId="3" fontId="24" fillId="0" borderId="25" xfId="219" applyNumberFormat="1" applyFont="1" applyFill="1" applyBorder="1" applyAlignment="1">
      <alignment horizontal="center" vertical="center" readingOrder="2"/>
    </xf>
    <xf numFmtId="3" fontId="69" fillId="0" borderId="25" xfId="219" applyNumberFormat="1" applyFont="1" applyFill="1" applyBorder="1" applyAlignment="1">
      <alignment horizontal="center" vertical="center" readingOrder="2"/>
    </xf>
    <xf numFmtId="3" fontId="24" fillId="0" borderId="0" xfId="219" applyNumberFormat="1" applyFont="1" applyFill="1" applyAlignment="1">
      <alignment horizontal="center" vertical="center"/>
    </xf>
    <xf numFmtId="0" fontId="24" fillId="0" borderId="16" xfId="219" applyFont="1" applyFill="1" applyBorder="1" applyAlignment="1">
      <alignment horizontal="center" vertical="center" readingOrder="2"/>
    </xf>
    <xf numFmtId="0" fontId="26" fillId="0" borderId="1" xfId="219" applyFont="1" applyFill="1" applyBorder="1" applyAlignment="1">
      <alignment horizontal="center" vertical="center" wrapText="1" readingOrder="2"/>
    </xf>
    <xf numFmtId="3" fontId="26" fillId="27" borderId="1" xfId="219" applyNumberFormat="1" applyFont="1" applyFill="1" applyBorder="1" applyAlignment="1">
      <alignment horizontal="center" vertical="center" shrinkToFit="1" readingOrder="1"/>
    </xf>
    <xf numFmtId="3" fontId="24" fillId="27" borderId="1" xfId="219" applyNumberFormat="1" applyFont="1" applyFill="1" applyBorder="1" applyAlignment="1">
      <alignment horizontal="center" vertical="center" readingOrder="2"/>
    </xf>
    <xf numFmtId="3" fontId="68" fillId="27" borderId="1" xfId="219" applyNumberFormat="1" applyFont="1" applyFill="1" applyBorder="1" applyAlignment="1">
      <alignment horizontal="center" vertical="center" readingOrder="2"/>
    </xf>
    <xf numFmtId="3" fontId="68" fillId="0" borderId="1" xfId="219" applyNumberFormat="1" applyFont="1" applyFill="1" applyBorder="1" applyAlignment="1">
      <alignment horizontal="center" vertical="center" readingOrder="2"/>
    </xf>
    <xf numFmtId="180" fontId="21" fillId="0" borderId="1" xfId="219" applyNumberFormat="1" applyFont="1" applyFill="1" applyBorder="1" applyAlignment="1">
      <alignment horizontal="center" vertical="center" readingOrder="2"/>
    </xf>
    <xf numFmtId="3" fontId="68" fillId="27" borderId="30" xfId="219" applyNumberFormat="1" applyFont="1" applyFill="1" applyBorder="1" applyAlignment="1">
      <alignment horizontal="center" vertical="center" readingOrder="2"/>
    </xf>
    <xf numFmtId="3" fontId="82" fillId="0" borderId="0" xfId="219" applyNumberFormat="1" applyFont="1" applyFill="1" applyAlignment="1">
      <alignment horizontal="center" vertical="center" readingOrder="2"/>
    </xf>
    <xf numFmtId="0" fontId="24" fillId="0" borderId="73" xfId="219" applyFont="1" applyFill="1" applyBorder="1" applyAlignment="1">
      <alignment horizontal="center" vertical="center" readingOrder="2"/>
    </xf>
    <xf numFmtId="0" fontId="24" fillId="0" borderId="43" xfId="219" applyFont="1" applyFill="1" applyBorder="1" applyAlignment="1">
      <alignment horizontal="center" vertical="center" readingOrder="2"/>
    </xf>
    <xf numFmtId="3" fontId="26" fillId="27" borderId="43" xfId="219" applyNumberFormat="1" applyFont="1" applyFill="1" applyBorder="1" applyAlignment="1">
      <alignment horizontal="center" vertical="center" shrinkToFit="1" readingOrder="1"/>
    </xf>
    <xf numFmtId="3" fontId="24" fillId="27" borderId="43" xfId="219" applyNumberFormat="1" applyFont="1" applyFill="1" applyBorder="1" applyAlignment="1">
      <alignment horizontal="center" vertical="center" readingOrder="2"/>
    </xf>
    <xf numFmtId="3" fontId="68" fillId="27" borderId="43" xfId="219" applyNumberFormat="1" applyFont="1" applyFill="1" applyBorder="1" applyAlignment="1">
      <alignment horizontal="center" vertical="center" readingOrder="2"/>
    </xf>
    <xf numFmtId="3" fontId="70" fillId="27" borderId="43" xfId="219" applyNumberFormat="1" applyFont="1" applyFill="1" applyBorder="1" applyAlignment="1">
      <alignment horizontal="center" vertical="center" readingOrder="2"/>
    </xf>
    <xf numFmtId="3" fontId="68" fillId="0" borderId="43" xfId="219" applyNumberFormat="1" applyFont="1" applyFill="1" applyBorder="1" applyAlignment="1">
      <alignment horizontal="center" vertical="center" readingOrder="2"/>
    </xf>
    <xf numFmtId="180" fontId="21" fillId="0" borderId="43" xfId="219" applyNumberFormat="1" applyFont="1" applyFill="1" applyBorder="1" applyAlignment="1">
      <alignment horizontal="center" vertical="center" readingOrder="2"/>
    </xf>
    <xf numFmtId="3" fontId="68" fillId="27" borderId="72" xfId="219" applyNumberFormat="1" applyFont="1" applyFill="1" applyBorder="1" applyAlignment="1">
      <alignment horizontal="center" vertical="center" readingOrder="2"/>
    </xf>
    <xf numFmtId="3" fontId="24" fillId="0" borderId="0" xfId="219" applyNumberFormat="1" applyFont="1" applyFill="1" applyBorder="1" applyAlignment="1">
      <alignment horizontal="center" vertical="center"/>
    </xf>
    <xf numFmtId="3" fontId="71" fillId="29" borderId="34" xfId="219" applyNumberFormat="1" applyFont="1" applyFill="1" applyBorder="1" applyAlignment="1">
      <alignment horizontal="center" vertical="center" readingOrder="2"/>
    </xf>
    <xf numFmtId="3" fontId="25" fillId="27" borderId="36" xfId="219" applyNumberFormat="1" applyFont="1" applyFill="1" applyBorder="1" applyAlignment="1">
      <alignment horizontal="center" vertical="center" shrinkToFit="1" readingOrder="1"/>
    </xf>
    <xf numFmtId="3" fontId="24" fillId="0" borderId="36" xfId="219" applyNumberFormat="1" applyFont="1" applyFill="1" applyBorder="1" applyAlignment="1">
      <alignment horizontal="center" vertical="center" readingOrder="2"/>
    </xf>
    <xf numFmtId="3" fontId="69" fillId="0" borderId="36" xfId="219" applyNumberFormat="1" applyFont="1" applyFill="1" applyBorder="1" applyAlignment="1">
      <alignment horizontal="center" vertical="center" readingOrder="2"/>
    </xf>
    <xf numFmtId="3" fontId="21" fillId="0" borderId="36" xfId="219" applyNumberFormat="1" applyFont="1" applyFill="1" applyBorder="1" applyAlignment="1">
      <alignment horizontal="center" vertical="center" readingOrder="2"/>
    </xf>
    <xf numFmtId="170" fontId="25" fillId="0" borderId="36" xfId="219" applyNumberFormat="1" applyFont="1" applyFill="1" applyBorder="1" applyAlignment="1">
      <alignment horizontal="center" vertical="center" readingOrder="2"/>
    </xf>
    <xf numFmtId="3" fontId="21" fillId="27" borderId="36" xfId="219" applyNumberFormat="1" applyFont="1" applyFill="1" applyBorder="1" applyAlignment="1">
      <alignment horizontal="center" vertical="center" readingOrder="1"/>
    </xf>
    <xf numFmtId="3" fontId="82" fillId="27" borderId="36" xfId="219" applyNumberFormat="1" applyFont="1" applyFill="1" applyBorder="1" applyAlignment="1">
      <alignment horizontal="center" vertical="center" readingOrder="2"/>
    </xf>
    <xf numFmtId="0" fontId="24" fillId="0" borderId="0" xfId="219" applyFont="1" applyFill="1" applyAlignment="1">
      <alignment horizontal="center" vertical="center" readingOrder="2"/>
    </xf>
    <xf numFmtId="0" fontId="82" fillId="0" borderId="0" xfId="219" applyFont="1" applyFill="1" applyAlignment="1">
      <alignment horizontal="center" vertical="center" readingOrder="2"/>
    </xf>
    <xf numFmtId="0" fontId="83" fillId="0" borderId="0" xfId="219" applyFont="1" applyFill="1" applyAlignment="1">
      <alignment horizontal="center" vertical="center" readingOrder="2"/>
    </xf>
    <xf numFmtId="3" fontId="83" fillId="0" borderId="0" xfId="219" applyNumberFormat="1" applyFont="1" applyFill="1" applyAlignment="1">
      <alignment horizontal="center" vertical="center" readingOrder="2"/>
    </xf>
    <xf numFmtId="2" fontId="21" fillId="0" borderId="0" xfId="223" applyNumberFormat="1" applyFont="1" applyFill="1" applyAlignment="1" applyProtection="1">
      <alignment horizontal="center" vertical="center"/>
      <protection locked="0"/>
    </xf>
    <xf numFmtId="1" fontId="27" fillId="0" borderId="12" xfId="223" applyNumberFormat="1" applyFont="1" applyFill="1" applyBorder="1" applyAlignment="1" applyProtection="1">
      <alignment horizontal="center" vertical="center" wrapText="1"/>
      <protection locked="0"/>
    </xf>
    <xf numFmtId="1" fontId="27" fillId="0" borderId="1" xfId="223" applyNumberFormat="1" applyFont="1" applyFill="1" applyBorder="1" applyAlignment="1" applyProtection="1">
      <alignment horizontal="center" vertical="center" wrapText="1"/>
      <protection locked="0"/>
    </xf>
    <xf numFmtId="1" fontId="95" fillId="0" borderId="1" xfId="223" applyNumberFormat="1" applyFont="1" applyFill="1" applyBorder="1" applyAlignment="1" applyProtection="1">
      <alignment horizontal="center" vertical="center" wrapText="1"/>
      <protection locked="0"/>
    </xf>
    <xf numFmtId="3" fontId="28" fillId="28" borderId="1" xfId="223" applyNumberFormat="1" applyFont="1" applyFill="1" applyBorder="1" applyAlignment="1" applyProtection="1">
      <alignment horizontal="center" vertical="center"/>
      <protection locked="0"/>
    </xf>
    <xf numFmtId="3" fontId="85" fillId="28" borderId="1" xfId="223" applyNumberFormat="1" applyFont="1" applyFill="1" applyBorder="1" applyAlignment="1" applyProtection="1">
      <alignment horizontal="center" vertical="center"/>
      <protection locked="0"/>
    </xf>
    <xf numFmtId="1" fontId="24" fillId="0" borderId="0" xfId="223" applyNumberFormat="1" applyFont="1" applyFill="1" applyAlignment="1" applyProtection="1">
      <alignment horizontal="center" vertical="center"/>
      <protection locked="0"/>
    </xf>
    <xf numFmtId="2" fontId="28" fillId="0" borderId="0" xfId="223" applyNumberFormat="1" applyFont="1" applyFill="1" applyAlignment="1" applyProtection="1">
      <alignment horizontal="center" vertical="center"/>
      <protection locked="0"/>
    </xf>
    <xf numFmtId="2" fontId="24" fillId="0" borderId="0" xfId="223" applyNumberFormat="1" applyFont="1" applyFill="1" applyAlignment="1" applyProtection="1">
      <alignment horizontal="center" vertical="center" wrapText="1"/>
      <protection locked="0"/>
    </xf>
    <xf numFmtId="3" fontId="24" fillId="0" borderId="0" xfId="223" applyNumberFormat="1" applyFont="1" applyFill="1" applyAlignment="1" applyProtection="1">
      <alignment horizontal="center" vertical="center"/>
      <protection locked="0"/>
    </xf>
    <xf numFmtId="4" fontId="29" fillId="0" borderId="0" xfId="223" applyNumberFormat="1" applyFont="1" applyFill="1" applyAlignment="1" applyProtection="1">
      <alignment horizontal="center" vertical="center"/>
      <protection locked="0"/>
    </xf>
    <xf numFmtId="4" fontId="93" fillId="0" borderId="0" xfId="223" applyNumberFormat="1" applyFont="1" applyFill="1" applyAlignment="1" applyProtection="1">
      <alignment horizontal="center" vertical="center"/>
      <protection locked="0"/>
    </xf>
    <xf numFmtId="2" fontId="83" fillId="0" borderId="0" xfId="223" applyNumberFormat="1" applyFont="1" applyFill="1" applyAlignment="1" applyProtection="1">
      <alignment horizontal="center" vertical="center"/>
      <protection locked="0"/>
    </xf>
    <xf numFmtId="2" fontId="84" fillId="0" borderId="0" xfId="223" applyNumberFormat="1" applyFont="1" applyFill="1" applyAlignment="1" applyProtection="1">
      <alignment horizontal="center" vertical="center"/>
      <protection locked="0"/>
    </xf>
    <xf numFmtId="0" fontId="21" fillId="0" borderId="0" xfId="0" applyFont="1"/>
    <xf numFmtId="1" fontId="91" fillId="0" borderId="1" xfId="0" applyNumberFormat="1" applyFont="1" applyBorder="1" applyAlignment="1">
      <alignment horizontal="center" vertical="center"/>
    </xf>
    <xf numFmtId="1" fontId="82" fillId="0" borderId="1" xfId="0" applyNumberFormat="1" applyFont="1" applyBorder="1" applyAlignment="1">
      <alignment vertical="center"/>
    </xf>
    <xf numFmtId="4" fontId="87" fillId="27" borderId="1" xfId="0" applyNumberFormat="1" applyFont="1" applyFill="1" applyBorder="1" applyAlignment="1">
      <alignment horizontal="center" vertical="center"/>
    </xf>
    <xf numFmtId="4" fontId="69" fillId="27" borderId="1" xfId="0" applyNumberFormat="1" applyFont="1" applyFill="1" applyBorder="1" applyAlignment="1">
      <alignment horizontal="center" vertical="center"/>
    </xf>
    <xf numFmtId="0" fontId="82" fillId="0" borderId="0" xfId="0" applyFont="1"/>
    <xf numFmtId="0" fontId="118" fillId="0" borderId="0" xfId="221" applyFont="1" applyAlignment="1">
      <alignment horizontal="center"/>
    </xf>
    <xf numFmtId="0" fontId="123" fillId="0" borderId="0" xfId="221" applyFont="1" applyAlignment="1">
      <alignment horizontal="center"/>
    </xf>
    <xf numFmtId="0" fontId="118" fillId="0" borderId="0" xfId="221" applyFont="1" applyAlignment="1">
      <alignment horizontal="center" vertical="center" wrapText="1"/>
    </xf>
    <xf numFmtId="182" fontId="124" fillId="0" borderId="0" xfId="222" applyNumberFormat="1" applyFont="1" applyAlignment="1">
      <alignment horizontal="center" vertical="center" wrapText="1"/>
    </xf>
    <xf numFmtId="0" fontId="124" fillId="0" borderId="0" xfId="221" applyFont="1" applyAlignment="1">
      <alignment horizontal="center" vertical="center" wrapText="1"/>
    </xf>
    <xf numFmtId="0" fontId="124" fillId="0" borderId="0" xfId="221" applyFont="1" applyAlignment="1">
      <alignment horizontal="center" vertical="center"/>
    </xf>
    <xf numFmtId="182" fontId="124" fillId="0" borderId="0" xfId="222" applyNumberFormat="1" applyFont="1" applyAlignment="1">
      <alignment horizontal="center" vertical="center"/>
    </xf>
    <xf numFmtId="0" fontId="119" fillId="0" borderId="0" xfId="221" applyFont="1" applyAlignment="1">
      <alignment horizontal="center"/>
    </xf>
    <xf numFmtId="0" fontId="21" fillId="0" borderId="1" xfId="219" applyFont="1" applyFill="1" applyBorder="1" applyAlignment="1">
      <alignment horizontal="center" vertical="center" wrapText="1" readingOrder="2"/>
    </xf>
    <xf numFmtId="4" fontId="24" fillId="0" borderId="27" xfId="0" applyNumberFormat="1" applyFont="1" applyFill="1" applyBorder="1" applyAlignment="1">
      <alignment horizontal="center" vertical="center"/>
    </xf>
    <xf numFmtId="2" fontId="87" fillId="27" borderId="31" xfId="0" applyNumberFormat="1" applyFont="1" applyFill="1" applyBorder="1" applyAlignment="1">
      <alignment horizontal="center" vertical="center"/>
    </xf>
    <xf numFmtId="2" fontId="69" fillId="27" borderId="31" xfId="0" applyNumberFormat="1" applyFont="1" applyFill="1" applyBorder="1" applyAlignment="1">
      <alignment horizontal="center" vertical="center"/>
    </xf>
    <xf numFmtId="4" fontId="87" fillId="27" borderId="1" xfId="0" applyNumberFormat="1" applyFont="1" applyFill="1" applyBorder="1" applyAlignment="1">
      <alignment horizontal="center" vertical="center"/>
    </xf>
    <xf numFmtId="4" fontId="69" fillId="27" borderId="1" xfId="0" applyNumberFormat="1" applyFont="1" applyFill="1" applyBorder="1" applyAlignment="1">
      <alignment horizontal="center" vertical="center"/>
    </xf>
    <xf numFmtId="4" fontId="87" fillId="27" borderId="1" xfId="0" applyNumberFormat="1" applyFont="1" applyFill="1" applyBorder="1" applyAlignment="1">
      <alignment horizontal="center" vertical="center"/>
    </xf>
    <xf numFmtId="4" fontId="69" fillId="27" borderId="1" xfId="0" applyNumberFormat="1" applyFont="1" applyFill="1" applyBorder="1" applyAlignment="1">
      <alignment horizontal="center" vertical="center"/>
    </xf>
    <xf numFmtId="2" fontId="87" fillId="27" borderId="31" xfId="0" applyNumberFormat="1" applyFont="1" applyFill="1" applyBorder="1" applyAlignment="1">
      <alignment horizontal="center" vertical="center"/>
    </xf>
    <xf numFmtId="2" fontId="69" fillId="27" borderId="31" xfId="0" applyNumberFormat="1" applyFont="1" applyFill="1" applyBorder="1" applyAlignment="1">
      <alignment horizontal="center" vertical="center"/>
    </xf>
    <xf numFmtId="4" fontId="87" fillId="27" borderId="1" xfId="0" applyNumberFormat="1" applyFont="1" applyFill="1" applyBorder="1" applyAlignment="1">
      <alignment horizontal="center" vertical="center"/>
    </xf>
    <xf numFmtId="4" fontId="69" fillId="27" borderId="1" xfId="0" applyNumberFormat="1" applyFont="1" applyFill="1" applyBorder="1" applyAlignment="1">
      <alignment horizontal="center" vertical="center"/>
    </xf>
    <xf numFmtId="4" fontId="87" fillId="27" borderId="1" xfId="0" applyNumberFormat="1" applyFont="1" applyFill="1" applyBorder="1" applyAlignment="1">
      <alignment horizontal="center" vertical="center"/>
    </xf>
    <xf numFmtId="4" fontId="69" fillId="27" borderId="1" xfId="0" applyNumberFormat="1" applyFont="1" applyFill="1" applyBorder="1" applyAlignment="1">
      <alignment horizontal="center" vertical="center"/>
    </xf>
    <xf numFmtId="4" fontId="87" fillId="27" borderId="1" xfId="0" applyNumberFormat="1" applyFont="1" applyFill="1" applyBorder="1" applyAlignment="1">
      <alignment horizontal="center" vertical="center"/>
    </xf>
    <xf numFmtId="4" fontId="69" fillId="27" borderId="1" xfId="0" applyNumberFormat="1" applyFont="1" applyFill="1" applyBorder="1" applyAlignment="1">
      <alignment horizontal="center" vertical="center"/>
    </xf>
    <xf numFmtId="2" fontId="120" fillId="27" borderId="1" xfId="0" applyNumberFormat="1" applyFont="1" applyFill="1" applyBorder="1" applyAlignment="1">
      <alignment horizontal="center" vertical="center"/>
    </xf>
    <xf numFmtId="2" fontId="84" fillId="27" borderId="1" xfId="0" applyNumberFormat="1" applyFont="1" applyFill="1" applyBorder="1" applyAlignment="1">
      <alignment horizontal="center" vertical="center"/>
    </xf>
    <xf numFmtId="2" fontId="28" fillId="27" borderId="1" xfId="0" applyNumberFormat="1" applyFont="1" applyFill="1" applyBorder="1" applyAlignment="1">
      <alignment horizontal="center" vertical="center"/>
    </xf>
    <xf numFmtId="1" fontId="120" fillId="27" borderId="1" xfId="0" applyNumberFormat="1" applyFont="1" applyFill="1" applyBorder="1" applyAlignment="1">
      <alignment vertical="center" readingOrder="2"/>
    </xf>
    <xf numFmtId="0" fontId="22" fillId="0" borderId="31" xfId="70" applyFont="1" applyFill="1" applyBorder="1" applyAlignment="1">
      <alignment horizontal="center" vertical="center"/>
    </xf>
    <xf numFmtId="0" fontId="22" fillId="0" borderId="27" xfId="70" applyFont="1" applyFill="1" applyBorder="1" applyAlignment="1">
      <alignment horizontal="center" vertical="center"/>
    </xf>
    <xf numFmtId="4" fontId="87" fillId="27" borderId="1" xfId="0" applyNumberFormat="1" applyFont="1" applyFill="1" applyBorder="1" applyAlignment="1">
      <alignment horizontal="center" vertical="center"/>
    </xf>
    <xf numFmtId="4" fontId="69" fillId="27" borderId="1" xfId="0" applyNumberFormat="1" applyFont="1" applyFill="1" applyBorder="1" applyAlignment="1">
      <alignment horizontal="center" vertical="center"/>
    </xf>
    <xf numFmtId="0" fontId="30" fillId="0" borderId="0" xfId="73" applyFont="1" applyFill="1" applyAlignment="1">
      <alignment horizontal="right" vertical="center" wrapText="1"/>
    </xf>
    <xf numFmtId="3" fontId="36" fillId="0" borderId="24" xfId="73" applyNumberFormat="1" applyFont="1" applyFill="1" applyBorder="1" applyAlignment="1">
      <alignment horizontal="center" vertical="center"/>
    </xf>
    <xf numFmtId="3" fontId="36" fillId="0" borderId="0" xfId="73" applyNumberFormat="1" applyFont="1" applyFill="1" applyBorder="1" applyAlignment="1">
      <alignment horizontal="center" vertical="center"/>
    </xf>
    <xf numFmtId="3" fontId="36" fillId="0" borderId="34" xfId="73" applyNumberFormat="1" applyFont="1" applyFill="1" applyBorder="1" applyAlignment="1">
      <alignment horizontal="center" vertical="center"/>
    </xf>
    <xf numFmtId="3" fontId="36" fillId="0" borderId="62" xfId="73" applyNumberFormat="1" applyFont="1" applyFill="1" applyBorder="1" applyAlignment="1">
      <alignment horizontal="center" vertical="center"/>
    </xf>
    <xf numFmtId="3" fontId="36" fillId="0" borderId="26" xfId="73" applyNumberFormat="1" applyFont="1" applyFill="1" applyBorder="1" applyAlignment="1">
      <alignment horizontal="center" vertical="center"/>
    </xf>
    <xf numFmtId="3" fontId="36" fillId="0" borderId="52" xfId="73" applyNumberFormat="1" applyFont="1" applyFill="1" applyBorder="1" applyAlignment="1">
      <alignment horizontal="center" vertical="center"/>
    </xf>
    <xf numFmtId="3" fontId="36" fillId="0" borderId="60" xfId="73" applyNumberFormat="1" applyFont="1" applyFill="1" applyBorder="1" applyAlignment="1">
      <alignment horizontal="center" vertical="center"/>
    </xf>
    <xf numFmtId="3" fontId="36" fillId="0" borderId="19" xfId="73" applyNumberFormat="1" applyFont="1" applyFill="1" applyBorder="1" applyAlignment="1">
      <alignment horizontal="center" vertical="center"/>
    </xf>
    <xf numFmtId="3" fontId="36" fillId="0" borderId="35" xfId="73" applyNumberFormat="1" applyFont="1" applyFill="1" applyBorder="1" applyAlignment="1">
      <alignment horizontal="center" vertical="center"/>
    </xf>
    <xf numFmtId="0" fontId="37" fillId="26" borderId="21" xfId="73" applyFont="1" applyFill="1" applyBorder="1" applyAlignment="1">
      <alignment horizontal="center" vertical="center"/>
    </xf>
    <xf numFmtId="0" fontId="37" fillId="26" borderId="14" xfId="73" applyFont="1" applyFill="1" applyBorder="1" applyAlignment="1">
      <alignment horizontal="center" vertical="center"/>
    </xf>
    <xf numFmtId="0" fontId="37" fillId="26" borderId="24" xfId="73" applyFont="1" applyFill="1" applyBorder="1" applyAlignment="1">
      <alignment horizontal="center" vertical="center"/>
    </xf>
    <xf numFmtId="0" fontId="37" fillId="26" borderId="0" xfId="73" applyFont="1" applyFill="1" applyBorder="1" applyAlignment="1">
      <alignment horizontal="center" vertical="center"/>
    </xf>
    <xf numFmtId="0" fontId="99" fillId="26" borderId="49" xfId="73" applyFont="1" applyFill="1" applyBorder="1" applyAlignment="1">
      <alignment horizontal="center" vertical="center"/>
    </xf>
    <xf numFmtId="0" fontId="99" fillId="26" borderId="14" xfId="73" applyFont="1" applyFill="1" applyBorder="1" applyAlignment="1">
      <alignment horizontal="center" vertical="center"/>
    </xf>
    <xf numFmtId="0" fontId="99" fillId="26" borderId="50" xfId="73" applyFont="1" applyFill="1" applyBorder="1" applyAlignment="1">
      <alignment horizontal="center" vertical="center"/>
    </xf>
    <xf numFmtId="0" fontId="99" fillId="26" borderId="32" xfId="73" applyFont="1" applyFill="1" applyBorder="1" applyAlignment="1">
      <alignment horizontal="center" vertical="center"/>
    </xf>
    <xf numFmtId="0" fontId="99" fillId="26" borderId="0" xfId="73" applyFont="1" applyFill="1" applyBorder="1" applyAlignment="1">
      <alignment horizontal="center" vertical="center"/>
    </xf>
    <xf numFmtId="0" fontId="99" fillId="26" borderId="34" xfId="73" applyFont="1" applyFill="1" applyBorder="1" applyAlignment="1">
      <alignment horizontal="center" vertical="center"/>
    </xf>
    <xf numFmtId="3" fontId="38" fillId="0" borderId="33" xfId="73" applyNumberFormat="1" applyFont="1" applyFill="1" applyBorder="1" applyAlignment="1">
      <alignment horizontal="center" vertical="center"/>
    </xf>
    <xf numFmtId="3" fontId="38" fillId="0" borderId="19" xfId="73" applyNumberFormat="1" applyFont="1" applyFill="1" applyBorder="1" applyAlignment="1">
      <alignment horizontal="center" vertical="center"/>
    </xf>
    <xf numFmtId="3" fontId="38" fillId="0" borderId="35" xfId="73" applyNumberFormat="1" applyFont="1" applyFill="1" applyBorder="1" applyAlignment="1">
      <alignment horizontal="center" vertical="center"/>
    </xf>
    <xf numFmtId="3" fontId="38" fillId="0" borderId="51" xfId="73" applyNumberFormat="1" applyFont="1" applyFill="1" applyBorder="1" applyAlignment="1">
      <alignment horizontal="center" vertical="center"/>
    </xf>
    <xf numFmtId="3" fontId="38" fillId="0" borderId="26" xfId="73" applyNumberFormat="1" applyFont="1" applyFill="1" applyBorder="1" applyAlignment="1">
      <alignment horizontal="center" vertical="center"/>
    </xf>
    <xf numFmtId="3" fontId="38" fillId="0" borderId="52" xfId="73" applyNumberFormat="1" applyFont="1" applyFill="1" applyBorder="1" applyAlignment="1">
      <alignment horizontal="center" vertical="center"/>
    </xf>
    <xf numFmtId="3" fontId="36" fillId="0" borderId="60" xfId="73" applyNumberFormat="1" applyFont="1" applyFill="1" applyBorder="1" applyAlignment="1">
      <alignment horizontal="center" vertical="center" wrapText="1"/>
    </xf>
    <xf numFmtId="3" fontId="36" fillId="0" borderId="19" xfId="73" applyNumberFormat="1" applyFont="1" applyFill="1" applyBorder="1" applyAlignment="1">
      <alignment horizontal="center" vertical="center" wrapText="1"/>
    </xf>
    <xf numFmtId="3" fontId="36" fillId="0" borderId="35" xfId="73" applyNumberFormat="1" applyFont="1" applyFill="1" applyBorder="1" applyAlignment="1">
      <alignment horizontal="center" vertical="center" wrapText="1"/>
    </xf>
    <xf numFmtId="3" fontId="36" fillId="0" borderId="62" xfId="73" applyNumberFormat="1" applyFont="1" applyFill="1" applyBorder="1" applyAlignment="1">
      <alignment horizontal="center" vertical="center" wrapText="1"/>
    </xf>
    <xf numFmtId="3" fontId="36" fillId="0" borderId="26" xfId="73" applyNumberFormat="1" applyFont="1" applyFill="1" applyBorder="1" applyAlignment="1">
      <alignment horizontal="center" vertical="center" wrapText="1"/>
    </xf>
    <xf numFmtId="3" fontId="36" fillId="0" borderId="52" xfId="73" applyNumberFormat="1" applyFont="1" applyFill="1" applyBorder="1" applyAlignment="1">
      <alignment horizontal="center" vertical="center" wrapText="1"/>
    </xf>
    <xf numFmtId="3" fontId="25" fillId="27" borderId="29" xfId="74" applyNumberFormat="1" applyFont="1" applyFill="1" applyBorder="1" applyAlignment="1">
      <alignment horizontal="center" vertical="center"/>
    </xf>
    <xf numFmtId="3" fontId="25" fillId="27" borderId="15" xfId="74" applyNumberFormat="1" applyFont="1" applyFill="1" applyBorder="1" applyAlignment="1">
      <alignment horizontal="center" vertical="center"/>
    </xf>
    <xf numFmtId="3" fontId="25" fillId="27" borderId="54" xfId="74" applyNumberFormat="1" applyFont="1" applyFill="1" applyBorder="1" applyAlignment="1">
      <alignment horizontal="center" vertical="center"/>
    </xf>
    <xf numFmtId="3" fontId="25" fillId="27" borderId="42" xfId="74" applyNumberFormat="1" applyFont="1" applyFill="1" applyBorder="1" applyAlignment="1">
      <alignment horizontal="center" vertical="center"/>
    </xf>
    <xf numFmtId="0" fontId="23" fillId="0" borderId="0" xfId="73" applyFont="1" applyFill="1" applyAlignment="1">
      <alignment horizontal="right" vertical="center"/>
    </xf>
    <xf numFmtId="0" fontId="23" fillId="0" borderId="0" xfId="73" applyFont="1" applyBorder="1" applyAlignment="1">
      <alignment horizontal="center" vertical="center"/>
    </xf>
    <xf numFmtId="0" fontId="23" fillId="0" borderId="0" xfId="73" applyFont="1" applyFill="1" applyBorder="1" applyAlignment="1">
      <alignment horizontal="center" vertical="center" shrinkToFit="1"/>
    </xf>
    <xf numFmtId="0" fontId="23" fillId="0" borderId="34" xfId="73" applyFont="1" applyFill="1" applyBorder="1" applyAlignment="1">
      <alignment horizontal="center" vertical="center" shrinkToFit="1"/>
    </xf>
    <xf numFmtId="3" fontId="74" fillId="0" borderId="69" xfId="73" applyNumberFormat="1" applyFont="1" applyFill="1" applyBorder="1" applyAlignment="1">
      <alignment horizontal="center" vertical="center"/>
    </xf>
    <xf numFmtId="3" fontId="74" fillId="0" borderId="61" xfId="73" applyNumberFormat="1" applyFont="1" applyFill="1" applyBorder="1" applyAlignment="1">
      <alignment horizontal="center" vertical="center"/>
    </xf>
    <xf numFmtId="3" fontId="74" fillId="0" borderId="70" xfId="73" applyNumberFormat="1" applyFont="1" applyFill="1" applyBorder="1" applyAlignment="1">
      <alignment horizontal="center" vertical="center"/>
    </xf>
    <xf numFmtId="3" fontId="74" fillId="0" borderId="63" xfId="73" applyNumberFormat="1" applyFont="1" applyFill="1" applyBorder="1" applyAlignment="1">
      <alignment horizontal="center" vertical="center"/>
    </xf>
    <xf numFmtId="3" fontId="73" fillId="0" borderId="33" xfId="73" applyNumberFormat="1" applyFont="1" applyFill="1" applyBorder="1" applyAlignment="1">
      <alignment horizontal="center" vertical="center"/>
    </xf>
    <xf numFmtId="3" fontId="73" fillId="0" borderId="19" xfId="73" applyNumberFormat="1" applyFont="1" applyFill="1" applyBorder="1" applyAlignment="1">
      <alignment horizontal="center" vertical="center"/>
    </xf>
    <xf numFmtId="3" fontId="73" fillId="0" borderId="35" xfId="73" applyNumberFormat="1" applyFont="1" applyFill="1" applyBorder="1" applyAlignment="1">
      <alignment horizontal="center" vertical="center"/>
    </xf>
    <xf numFmtId="3" fontId="73" fillId="0" borderId="51" xfId="73" applyNumberFormat="1" applyFont="1" applyFill="1" applyBorder="1" applyAlignment="1">
      <alignment horizontal="center" vertical="center"/>
    </xf>
    <xf numFmtId="3" fontId="73" fillId="0" borderId="26" xfId="73" applyNumberFormat="1" applyFont="1" applyFill="1" applyBorder="1" applyAlignment="1">
      <alignment horizontal="center" vertical="center"/>
    </xf>
    <xf numFmtId="3" fontId="73" fillId="0" borderId="52" xfId="73" applyNumberFormat="1" applyFont="1" applyFill="1" applyBorder="1" applyAlignment="1">
      <alignment horizontal="center" vertical="center"/>
    </xf>
    <xf numFmtId="3" fontId="70" fillId="27" borderId="59" xfId="73" applyNumberFormat="1" applyFont="1" applyFill="1" applyBorder="1" applyAlignment="1">
      <alignment horizontal="center" vertical="center"/>
    </xf>
    <xf numFmtId="3" fontId="70" fillId="27" borderId="56" xfId="73" applyNumberFormat="1" applyFont="1" applyFill="1" applyBorder="1" applyAlignment="1">
      <alignment horizontal="center" vertical="center"/>
    </xf>
    <xf numFmtId="3" fontId="70" fillId="27" borderId="71" xfId="73" applyNumberFormat="1" applyFont="1" applyFill="1" applyBorder="1" applyAlignment="1">
      <alignment horizontal="center" vertical="center"/>
    </xf>
    <xf numFmtId="3" fontId="70" fillId="27" borderId="45" xfId="73" applyNumberFormat="1" applyFont="1" applyFill="1" applyBorder="1" applyAlignment="1">
      <alignment horizontal="center" vertical="center"/>
    </xf>
    <xf numFmtId="0" fontId="39" fillId="0" borderId="60" xfId="73" applyFont="1" applyFill="1" applyBorder="1" applyAlignment="1">
      <alignment horizontal="center" vertical="center"/>
    </xf>
    <xf numFmtId="0" fontId="39" fillId="0" borderId="19" xfId="73" applyFont="1" applyFill="1" applyBorder="1" applyAlignment="1">
      <alignment horizontal="center" vertical="center"/>
    </xf>
    <xf numFmtId="0" fontId="39" fillId="0" borderId="35" xfId="73" applyFont="1" applyFill="1" applyBorder="1" applyAlignment="1">
      <alignment horizontal="center" vertical="center"/>
    </xf>
    <xf numFmtId="0" fontId="39" fillId="0" borderId="44" xfId="73" applyFont="1" applyFill="1" applyBorder="1" applyAlignment="1">
      <alignment horizontal="center" vertical="center"/>
    </xf>
    <xf numFmtId="0" fontId="39" fillId="0" borderId="47" xfId="73" applyFont="1" applyFill="1" applyBorder="1" applyAlignment="1">
      <alignment horizontal="center" vertical="center"/>
    </xf>
    <xf numFmtId="0" fontId="39" fillId="0" borderId="64" xfId="73" applyFont="1" applyFill="1" applyBorder="1" applyAlignment="1">
      <alignment horizontal="center" vertical="center"/>
    </xf>
    <xf numFmtId="0" fontId="23" fillId="0" borderId="0" xfId="73" applyFont="1" applyFill="1" applyAlignment="1">
      <alignment horizontal="center" vertical="center"/>
    </xf>
    <xf numFmtId="0" fontId="37" fillId="26" borderId="49" xfId="73" applyFont="1" applyFill="1" applyBorder="1" applyAlignment="1">
      <alignment horizontal="center" vertical="center"/>
    </xf>
    <xf numFmtId="0" fontId="37" fillId="26" borderId="50" xfId="73" applyFont="1" applyFill="1" applyBorder="1" applyAlignment="1">
      <alignment horizontal="center" vertical="center"/>
    </xf>
    <xf numFmtId="0" fontId="37" fillId="26" borderId="32" xfId="73" applyFont="1" applyFill="1" applyBorder="1" applyAlignment="1">
      <alignment horizontal="center" vertical="center"/>
    </xf>
    <xf numFmtId="0" fontId="37" fillId="26" borderId="34" xfId="73" applyFont="1" applyFill="1" applyBorder="1" applyAlignment="1">
      <alignment horizontal="center" vertical="center"/>
    </xf>
    <xf numFmtId="0" fontId="37" fillId="26" borderId="22" xfId="73" applyFont="1" applyFill="1" applyBorder="1" applyAlignment="1">
      <alignment horizontal="center" vertical="center"/>
    </xf>
    <xf numFmtId="0" fontId="37" fillId="26" borderId="43" xfId="73" applyFont="1" applyFill="1" applyBorder="1" applyAlignment="1">
      <alignment horizontal="center" vertical="center"/>
    </xf>
    <xf numFmtId="0" fontId="37" fillId="26" borderId="25" xfId="73" applyFont="1" applyFill="1" applyBorder="1" applyAlignment="1">
      <alignment horizontal="center" vertical="center"/>
    </xf>
    <xf numFmtId="3" fontId="110" fillId="0" borderId="20" xfId="221" applyNumberFormat="1" applyFont="1" applyFill="1" applyBorder="1" applyAlignment="1">
      <alignment horizontal="center"/>
    </xf>
    <xf numFmtId="3" fontId="110" fillId="0" borderId="0" xfId="221" applyNumberFormat="1" applyFont="1" applyFill="1" applyBorder="1" applyAlignment="1">
      <alignment horizontal="center"/>
    </xf>
    <xf numFmtId="3" fontId="23" fillId="0" borderId="20" xfId="221" applyNumberFormat="1" applyFont="1" applyFill="1" applyBorder="1" applyAlignment="1">
      <alignment horizontal="center"/>
    </xf>
    <xf numFmtId="3" fontId="23" fillId="0" borderId="0" xfId="221" applyNumberFormat="1" applyFont="1" applyFill="1" applyBorder="1" applyAlignment="1">
      <alignment horizontal="center"/>
    </xf>
    <xf numFmtId="0" fontId="23" fillId="0" borderId="84" xfId="221" applyFont="1" applyFill="1" applyBorder="1" applyAlignment="1">
      <alignment horizontal="center" vertical="top" wrapText="1" shrinkToFit="1"/>
    </xf>
    <xf numFmtId="0" fontId="23" fillId="0" borderId="26" xfId="221" applyFont="1" applyFill="1" applyBorder="1" applyAlignment="1">
      <alignment horizontal="center" vertical="top" wrapText="1" shrinkToFit="1"/>
    </xf>
    <xf numFmtId="0" fontId="110" fillId="0" borderId="84" xfId="221" applyFont="1" applyFill="1" applyBorder="1" applyAlignment="1">
      <alignment horizontal="center" vertical="top" wrapText="1" shrinkToFit="1"/>
    </xf>
    <xf numFmtId="0" fontId="110" fillId="0" borderId="26" xfId="221" applyFont="1" applyFill="1" applyBorder="1" applyAlignment="1">
      <alignment horizontal="center" vertical="top" wrapText="1" shrinkToFit="1"/>
    </xf>
    <xf numFmtId="3" fontId="110" fillId="0" borderId="20" xfId="221" applyNumberFormat="1" applyFont="1" applyFill="1" applyBorder="1" applyAlignment="1">
      <alignment horizontal="right"/>
    </xf>
    <xf numFmtId="3" fontId="110" fillId="0" borderId="0" xfId="221" applyNumberFormat="1" applyFont="1" applyFill="1" applyBorder="1" applyAlignment="1">
      <alignment horizontal="right"/>
    </xf>
    <xf numFmtId="3" fontId="23" fillId="0" borderId="20" xfId="221" applyNumberFormat="1" applyFont="1" applyFill="1" applyBorder="1" applyAlignment="1">
      <alignment horizontal="right"/>
    </xf>
    <xf numFmtId="3" fontId="23" fillId="0" borderId="0" xfId="221" applyNumberFormat="1" applyFont="1" applyFill="1" applyBorder="1" applyAlignment="1">
      <alignment horizontal="right"/>
    </xf>
    <xf numFmtId="0" fontId="36" fillId="0" borderId="0" xfId="73" applyFont="1" applyFill="1" applyAlignment="1">
      <alignment horizontal="center" vertical="center"/>
    </xf>
    <xf numFmtId="3" fontId="24" fillId="0" borderId="1" xfId="73" applyNumberFormat="1" applyFont="1" applyFill="1" applyBorder="1" applyAlignment="1">
      <alignment horizontal="center" vertical="center"/>
    </xf>
    <xf numFmtId="0" fontId="26" fillId="0" borderId="1" xfId="73" applyFont="1" applyFill="1" applyBorder="1" applyAlignment="1">
      <alignment horizontal="center" vertical="center"/>
    </xf>
    <xf numFmtId="0" fontId="22" fillId="0" borderId="39" xfId="73" applyFont="1" applyFill="1" applyBorder="1" applyAlignment="1">
      <alignment horizontal="center" vertical="center"/>
    </xf>
    <xf numFmtId="0" fontId="22" fillId="0" borderId="17" xfId="73" applyFont="1" applyFill="1" applyBorder="1" applyAlignment="1">
      <alignment horizontal="center" vertical="center"/>
    </xf>
    <xf numFmtId="0" fontId="26" fillId="0" borderId="39" xfId="73" applyFont="1" applyFill="1" applyBorder="1" applyAlignment="1">
      <alignment horizontal="center" vertical="center"/>
    </xf>
    <xf numFmtId="0" fontId="26" fillId="0" borderId="17" xfId="73" applyFont="1" applyFill="1" applyBorder="1" applyAlignment="1">
      <alignment horizontal="center" vertical="center"/>
    </xf>
    <xf numFmtId="0" fontId="22" fillId="0" borderId="1" xfId="73" applyFont="1" applyFill="1" applyBorder="1" applyAlignment="1">
      <alignment horizontal="center" vertical="center"/>
    </xf>
    <xf numFmtId="0" fontId="22" fillId="0" borderId="1" xfId="73" applyFont="1" applyFill="1" applyBorder="1" applyAlignment="1">
      <alignment horizontal="center" vertical="center" wrapText="1"/>
    </xf>
    <xf numFmtId="0" fontId="25" fillId="0" borderId="1" xfId="73" applyFont="1" applyFill="1" applyBorder="1" applyAlignment="1">
      <alignment horizontal="center" vertical="center" wrapText="1"/>
    </xf>
    <xf numFmtId="0" fontId="23" fillId="0" borderId="1" xfId="73" applyFont="1" applyBorder="1" applyAlignment="1">
      <alignment horizontal="center" vertical="center"/>
    </xf>
    <xf numFmtId="3" fontId="24" fillId="0" borderId="1" xfId="73" applyNumberFormat="1" applyFont="1" applyFill="1" applyBorder="1" applyAlignment="1">
      <alignment horizontal="center" vertical="center" wrapText="1"/>
    </xf>
    <xf numFmtId="0" fontId="25" fillId="0" borderId="53" xfId="65" applyFont="1" applyFill="1" applyBorder="1" applyAlignment="1">
      <alignment horizontal="center" vertical="center" wrapText="1" readingOrder="2"/>
    </xf>
    <xf numFmtId="0" fontId="0" fillId="0" borderId="66" xfId="0" applyBorder="1"/>
    <xf numFmtId="0" fontId="0" fillId="0" borderId="67" xfId="0" applyBorder="1"/>
    <xf numFmtId="3" fontId="24" fillId="0" borderId="15" xfId="65" applyNumberFormat="1" applyFont="1" applyFill="1" applyBorder="1" applyAlignment="1">
      <alignment horizontal="center" vertical="center"/>
    </xf>
    <xf numFmtId="3" fontId="24" fillId="0" borderId="54" xfId="65" applyNumberFormat="1" applyFont="1" applyFill="1" applyBorder="1" applyAlignment="1">
      <alignment horizontal="center" vertical="center"/>
    </xf>
    <xf numFmtId="0" fontId="30" fillId="0" borderId="36" xfId="65" applyFont="1" applyFill="1" applyBorder="1" applyAlignment="1">
      <alignment horizontal="center" vertical="center" wrapText="1" readingOrder="2"/>
    </xf>
    <xf numFmtId="0" fontId="24" fillId="0" borderId="65" xfId="65" applyFont="1" applyFill="1" applyBorder="1" applyAlignment="1">
      <alignment horizontal="center" vertical="center" readingOrder="2"/>
    </xf>
    <xf numFmtId="0" fontId="0" fillId="0" borderId="68" xfId="0" applyBorder="1"/>
    <xf numFmtId="0" fontId="21" fillId="0" borderId="57" xfId="65" applyFont="1" applyFill="1" applyBorder="1" applyAlignment="1">
      <alignment horizontal="center" vertical="center" wrapText="1" readingOrder="2"/>
    </xf>
    <xf numFmtId="0" fontId="0" fillId="0" borderId="58" xfId="0" applyBorder="1"/>
    <xf numFmtId="0" fontId="30" fillId="0" borderId="47" xfId="65" applyFont="1" applyFill="1" applyBorder="1" applyAlignment="1">
      <alignment horizontal="center" vertical="center" readingOrder="2"/>
    </xf>
    <xf numFmtId="3" fontId="24" fillId="0" borderId="47" xfId="65" applyNumberFormat="1" applyFont="1" applyFill="1" applyBorder="1" applyAlignment="1">
      <alignment horizontal="center" vertical="center" readingOrder="2"/>
    </xf>
    <xf numFmtId="3" fontId="24" fillId="0" borderId="47" xfId="65" applyNumberFormat="1" applyFont="1" applyFill="1" applyBorder="1" applyAlignment="1">
      <alignment vertical="center" readingOrder="2"/>
    </xf>
    <xf numFmtId="0" fontId="28" fillId="0" borderId="0" xfId="65" applyFont="1" applyFill="1" applyAlignment="1">
      <alignment horizontal="right" vertical="center" readingOrder="2"/>
    </xf>
    <xf numFmtId="0" fontId="24" fillId="0" borderId="0" xfId="65" applyFont="1" applyFill="1" applyBorder="1" applyAlignment="1">
      <alignment horizontal="right" vertical="center" readingOrder="2"/>
    </xf>
    <xf numFmtId="0" fontId="23" fillId="0" borderId="0" xfId="65" applyFont="1" applyFill="1" applyAlignment="1">
      <alignment horizontal="center" vertical="center" wrapText="1" readingOrder="2"/>
    </xf>
    <xf numFmtId="1" fontId="21" fillId="0" borderId="28" xfId="77" applyNumberFormat="1" applyFont="1" applyFill="1" applyBorder="1" applyAlignment="1">
      <alignment horizontal="center" vertical="center" wrapText="1"/>
    </xf>
    <xf numFmtId="1" fontId="21" fillId="0" borderId="38" xfId="77" applyNumberFormat="1" applyFont="1" applyFill="1" applyBorder="1" applyAlignment="1">
      <alignment horizontal="center" vertical="center" wrapText="1"/>
    </xf>
    <xf numFmtId="49" fontId="23" fillId="28" borderId="39" xfId="77" applyNumberFormat="1" applyFont="1" applyFill="1" applyBorder="1" applyAlignment="1" applyProtection="1">
      <alignment horizontal="center" vertical="center"/>
      <protection locked="0"/>
    </xf>
    <xf numFmtId="49" fontId="23" fillId="28" borderId="12" xfId="77" applyNumberFormat="1" applyFont="1" applyFill="1" applyBorder="1" applyAlignment="1" applyProtection="1">
      <alignment horizontal="center" vertical="center"/>
      <protection locked="0"/>
    </xf>
    <xf numFmtId="49" fontId="23" fillId="28" borderId="17" xfId="77" applyNumberFormat="1" applyFont="1" applyFill="1" applyBorder="1" applyAlignment="1" applyProtection="1">
      <alignment horizontal="center" vertical="center"/>
      <protection locked="0"/>
    </xf>
    <xf numFmtId="1" fontId="23" fillId="0" borderId="39" xfId="77" applyNumberFormat="1" applyFont="1" applyFill="1" applyBorder="1" applyAlignment="1" applyProtection="1">
      <alignment horizontal="center" vertical="center" wrapText="1"/>
      <protection locked="0"/>
    </xf>
    <xf numFmtId="1" fontId="23" fillId="0" borderId="12" xfId="77" applyNumberFormat="1" applyFont="1" applyFill="1" applyBorder="1" applyAlignment="1" applyProtection="1">
      <alignment horizontal="center" vertical="center" wrapText="1"/>
      <protection locked="0"/>
    </xf>
    <xf numFmtId="1" fontId="23" fillId="0" borderId="17" xfId="77" applyNumberFormat="1" applyFont="1" applyFill="1" applyBorder="1" applyAlignment="1" applyProtection="1">
      <alignment horizontal="center" vertical="center" wrapText="1"/>
      <protection locked="0"/>
    </xf>
    <xf numFmtId="1" fontId="23" fillId="0" borderId="15" xfId="77" applyNumberFormat="1" applyFont="1" applyFill="1" applyBorder="1" applyAlignment="1" applyProtection="1">
      <alignment horizontal="center" vertical="center" wrapText="1"/>
      <protection locked="0"/>
    </xf>
    <xf numFmtId="1" fontId="23" fillId="0" borderId="54" xfId="77" applyNumberFormat="1" applyFont="1" applyFill="1" applyBorder="1" applyAlignment="1" applyProtection="1">
      <alignment horizontal="center" vertical="center" wrapText="1"/>
      <protection locked="0"/>
    </xf>
    <xf numFmtId="1" fontId="27" fillId="0" borderId="39" xfId="77" applyNumberFormat="1" applyFont="1" applyFill="1" applyBorder="1" applyAlignment="1" applyProtection="1">
      <alignment horizontal="center" vertical="center" wrapText="1"/>
      <protection locked="0"/>
    </xf>
    <xf numFmtId="1" fontId="27" fillId="0" borderId="17" xfId="77" applyNumberFormat="1" applyFont="1" applyFill="1" applyBorder="1" applyAlignment="1" applyProtection="1">
      <alignment horizontal="center" vertical="center" wrapText="1"/>
      <protection locked="0"/>
    </xf>
    <xf numFmtId="1" fontId="23" fillId="0" borderId="29" xfId="77" applyNumberFormat="1" applyFont="1" applyFill="1" applyBorder="1" applyAlignment="1" applyProtection="1">
      <alignment horizontal="center" vertical="center" wrapText="1"/>
      <protection locked="0"/>
    </xf>
    <xf numFmtId="1" fontId="27" fillId="0" borderId="27" xfId="77" applyNumberFormat="1" applyFont="1" applyFill="1" applyBorder="1" applyAlignment="1" applyProtection="1">
      <alignment horizontal="center" vertical="center" wrapText="1"/>
      <protection locked="0"/>
    </xf>
    <xf numFmtId="1" fontId="27" fillId="0" borderId="31" xfId="77" applyNumberFormat="1" applyFont="1" applyFill="1" applyBorder="1" applyAlignment="1" applyProtection="1">
      <alignment horizontal="center" vertical="center" wrapText="1"/>
      <protection locked="0"/>
    </xf>
    <xf numFmtId="3" fontId="27" fillId="0" borderId="27" xfId="77" applyNumberFormat="1" applyFont="1" applyFill="1" applyBorder="1" applyAlignment="1" applyProtection="1">
      <alignment horizontal="center" vertical="center" wrapText="1"/>
      <protection locked="0"/>
    </xf>
    <xf numFmtId="3" fontId="27" fillId="0" borderId="31" xfId="77" applyNumberFormat="1" applyFont="1" applyFill="1" applyBorder="1" applyAlignment="1" applyProtection="1">
      <alignment horizontal="center" vertical="center" wrapText="1"/>
      <protection locked="0"/>
    </xf>
    <xf numFmtId="1" fontId="29" fillId="0" borderId="27" xfId="77" applyNumberFormat="1" applyFont="1" applyFill="1" applyBorder="1" applyAlignment="1" applyProtection="1">
      <alignment horizontal="center" vertical="center" wrapText="1"/>
      <protection locked="0"/>
    </xf>
    <xf numFmtId="1" fontId="29" fillId="0" borderId="31" xfId="77" applyNumberFormat="1" applyFont="1" applyFill="1" applyBorder="1" applyAlignment="1" applyProtection="1">
      <alignment horizontal="center" vertical="center" wrapText="1"/>
      <protection locked="0"/>
    </xf>
    <xf numFmtId="1" fontId="22" fillId="0" borderId="27" xfId="70" applyNumberFormat="1" applyFont="1" applyFill="1" applyBorder="1" applyAlignment="1">
      <alignment horizontal="center" vertical="center"/>
    </xf>
    <xf numFmtId="1" fontId="22" fillId="0" borderId="31" xfId="70" applyNumberFormat="1" applyFont="1" applyFill="1" applyBorder="1" applyAlignment="1">
      <alignment horizontal="center" vertical="center"/>
    </xf>
    <xf numFmtId="3" fontId="29" fillId="0" borderId="0" xfId="70" applyNumberFormat="1" applyFont="1" applyFill="1" applyBorder="1" applyAlignment="1">
      <alignment horizontal="center" vertical="center" wrapText="1"/>
    </xf>
    <xf numFmtId="0" fontId="22" fillId="0" borderId="43" xfId="70" applyFont="1" applyFill="1" applyBorder="1" applyAlignment="1">
      <alignment horizontal="center" vertical="center"/>
    </xf>
    <xf numFmtId="0" fontId="22" fillId="0" borderId="31" xfId="70" applyFont="1" applyFill="1" applyBorder="1" applyAlignment="1">
      <alignment horizontal="center" vertical="center"/>
    </xf>
    <xf numFmtId="0" fontId="27" fillId="0" borderId="0" xfId="70" applyFont="1" applyFill="1" applyBorder="1" applyAlignment="1">
      <alignment horizontal="center" vertical="center"/>
    </xf>
    <xf numFmtId="0" fontId="22" fillId="0" borderId="27" xfId="70" applyFont="1" applyFill="1" applyBorder="1" applyAlignment="1">
      <alignment horizontal="center" vertical="center"/>
    </xf>
    <xf numFmtId="1" fontId="22" fillId="0" borderId="43" xfId="70" applyNumberFormat="1" applyFont="1" applyFill="1" applyBorder="1" applyAlignment="1">
      <alignment horizontal="center" vertical="center"/>
    </xf>
    <xf numFmtId="49" fontId="90" fillId="27" borderId="27" xfId="0" applyNumberFormat="1" applyFont="1" applyFill="1" applyBorder="1" applyAlignment="1">
      <alignment horizontal="right" vertical="center" textRotation="180"/>
    </xf>
    <xf numFmtId="49" fontId="21" fillId="27" borderId="43" xfId="0" applyNumberFormat="1" applyFont="1" applyFill="1" applyBorder="1"/>
    <xf numFmtId="49" fontId="21" fillId="27" borderId="31" xfId="0" applyNumberFormat="1" applyFont="1" applyFill="1" applyBorder="1"/>
    <xf numFmtId="0" fontId="21" fillId="27" borderId="39" xfId="0" applyFont="1" applyFill="1" applyBorder="1" applyAlignment="1">
      <alignment horizontal="right" vertical="center" wrapText="1"/>
    </xf>
    <xf numFmtId="0" fontId="21" fillId="27" borderId="12" xfId="0" applyFont="1" applyFill="1" applyBorder="1" applyAlignment="1">
      <alignment horizontal="right" vertical="center" wrapText="1"/>
    </xf>
    <xf numFmtId="0" fontId="21" fillId="27" borderId="17" xfId="0" applyFont="1" applyFill="1" applyBorder="1" applyAlignment="1">
      <alignment horizontal="right" vertical="center" wrapText="1"/>
    </xf>
    <xf numFmtId="1" fontId="120" fillId="27" borderId="27" xfId="0" applyNumberFormat="1" applyFont="1" applyFill="1" applyBorder="1" applyAlignment="1">
      <alignment horizontal="left" vertical="distributed"/>
    </xf>
    <xf numFmtId="1" fontId="120" fillId="27" borderId="31" xfId="0" applyNumberFormat="1" applyFont="1" applyFill="1" applyBorder="1" applyAlignment="1">
      <alignment horizontal="left" vertical="distributed"/>
    </xf>
    <xf numFmtId="4" fontId="87" fillId="27" borderId="27" xfId="0" applyNumberFormat="1" applyFont="1" applyFill="1" applyBorder="1" applyAlignment="1">
      <alignment horizontal="center" vertical="center"/>
    </xf>
    <xf numFmtId="4" fontId="87" fillId="27" borderId="31" xfId="0" applyNumberFormat="1" applyFont="1" applyFill="1" applyBorder="1" applyAlignment="1">
      <alignment horizontal="center" vertical="center"/>
    </xf>
    <xf numFmtId="4" fontId="69" fillId="27" borderId="27" xfId="0" applyNumberFormat="1" applyFont="1" applyFill="1" applyBorder="1" applyAlignment="1">
      <alignment horizontal="center" vertical="center"/>
    </xf>
    <xf numFmtId="4" fontId="69" fillId="27" borderId="31" xfId="0" applyNumberFormat="1" applyFont="1" applyFill="1" applyBorder="1" applyAlignment="1">
      <alignment horizontal="center" vertical="center"/>
    </xf>
    <xf numFmtId="1" fontId="87" fillId="27" borderId="27" xfId="0" applyNumberFormat="1" applyFont="1" applyFill="1" applyBorder="1" applyAlignment="1">
      <alignment horizontal="center" vertical="distributed" readingOrder="2"/>
    </xf>
    <xf numFmtId="1" fontId="87" fillId="27" borderId="31" xfId="0" applyNumberFormat="1" applyFont="1" applyFill="1" applyBorder="1" applyAlignment="1">
      <alignment horizontal="center" vertical="distributed" readingOrder="2"/>
    </xf>
    <xf numFmtId="1" fontId="94" fillId="27" borderId="39" xfId="0" applyNumberFormat="1" applyFont="1" applyFill="1" applyBorder="1" applyAlignment="1">
      <alignment horizontal="center" vertical="center" readingOrder="2"/>
    </xf>
    <xf numFmtId="1" fontId="94" fillId="27" borderId="12" xfId="0" applyNumberFormat="1" applyFont="1" applyFill="1" applyBorder="1" applyAlignment="1">
      <alignment horizontal="center" vertical="center" readingOrder="2"/>
    </xf>
    <xf numFmtId="1" fontId="94" fillId="27" borderId="17" xfId="0" applyNumberFormat="1" applyFont="1" applyFill="1" applyBorder="1" applyAlignment="1">
      <alignment horizontal="center" vertical="center" readingOrder="2"/>
    </xf>
    <xf numFmtId="49" fontId="77" fillId="27" borderId="27" xfId="0" applyNumberFormat="1" applyFont="1" applyFill="1" applyBorder="1" applyAlignment="1">
      <alignment horizontal="right" vertical="center" textRotation="180"/>
    </xf>
    <xf numFmtId="49" fontId="77" fillId="27" borderId="43" xfId="0" applyNumberFormat="1" applyFont="1" applyFill="1" applyBorder="1" applyAlignment="1">
      <alignment horizontal="right" vertical="center" textRotation="180"/>
    </xf>
    <xf numFmtId="49" fontId="77" fillId="27" borderId="31" xfId="0" applyNumberFormat="1" applyFont="1" applyFill="1" applyBorder="1" applyAlignment="1">
      <alignment horizontal="right" vertical="center" textRotation="180"/>
    </xf>
    <xf numFmtId="0" fontId="21" fillId="27" borderId="39" xfId="0" applyFont="1" applyFill="1" applyBorder="1" applyAlignment="1">
      <alignment horizontal="right" vertical="center"/>
    </xf>
    <xf numFmtId="0" fontId="21" fillId="27" borderId="12" xfId="0" applyFont="1" applyFill="1" applyBorder="1" applyAlignment="1">
      <alignment horizontal="right" vertical="center"/>
    </xf>
    <xf numFmtId="0" fontId="21" fillId="27" borderId="17" xfId="0" applyFont="1" applyFill="1" applyBorder="1" applyAlignment="1">
      <alignment horizontal="right" vertical="center"/>
    </xf>
    <xf numFmtId="1" fontId="113" fillId="27" borderId="27" xfId="0" applyNumberFormat="1" applyFont="1" applyFill="1" applyBorder="1" applyAlignment="1">
      <alignment horizontal="left" vertical="distributed"/>
    </xf>
    <xf numFmtId="1" fontId="113" fillId="27" borderId="31" xfId="0" applyNumberFormat="1" applyFont="1" applyFill="1" applyBorder="1" applyAlignment="1">
      <alignment horizontal="left" vertical="distributed"/>
    </xf>
    <xf numFmtId="1" fontId="113" fillId="27" borderId="27" xfId="0" applyNumberFormat="1" applyFont="1" applyFill="1" applyBorder="1" applyAlignment="1">
      <alignment horizontal="center" vertical="distributed"/>
    </xf>
    <xf numFmtId="1" fontId="113" fillId="27" borderId="31" xfId="0" applyNumberFormat="1" applyFont="1" applyFill="1" applyBorder="1" applyAlignment="1">
      <alignment horizontal="center" vertical="distributed"/>
    </xf>
    <xf numFmtId="1" fontId="90" fillId="27" borderId="27" xfId="0" applyNumberFormat="1" applyFont="1" applyFill="1" applyBorder="1" applyAlignment="1">
      <alignment horizontal="right" vertical="center" textRotation="180"/>
    </xf>
    <xf numFmtId="1" fontId="90" fillId="27" borderId="43" xfId="0" applyNumberFormat="1" applyFont="1" applyFill="1" applyBorder="1" applyAlignment="1">
      <alignment horizontal="right" vertical="center" textRotation="180"/>
    </xf>
    <xf numFmtId="1" fontId="21" fillId="27" borderId="31" xfId="0" applyNumberFormat="1" applyFont="1" applyFill="1" applyBorder="1"/>
    <xf numFmtId="0" fontId="28" fillId="27" borderId="39" xfId="0" applyFont="1" applyFill="1" applyBorder="1" applyAlignment="1">
      <alignment horizontal="right" vertical="center"/>
    </xf>
    <xf numFmtId="0" fontId="28" fillId="27" borderId="12" xfId="0" applyFont="1" applyFill="1" applyBorder="1" applyAlignment="1">
      <alignment horizontal="right" vertical="center"/>
    </xf>
    <xf numFmtId="0" fontId="28" fillId="27" borderId="17" xfId="0" applyFont="1" applyFill="1" applyBorder="1" applyAlignment="1">
      <alignment horizontal="right" vertical="center"/>
    </xf>
    <xf numFmtId="1" fontId="91" fillId="27" borderId="27" xfId="0" applyNumberFormat="1" applyFont="1" applyFill="1" applyBorder="1" applyAlignment="1">
      <alignment horizontal="left" vertical="distributed"/>
    </xf>
    <xf numFmtId="1" fontId="91" fillId="27" borderId="31" xfId="0" applyNumberFormat="1" applyFont="1" applyFill="1" applyBorder="1" applyAlignment="1">
      <alignment horizontal="left" vertical="distributed"/>
    </xf>
    <xf numFmtId="0" fontId="90" fillId="27" borderId="39" xfId="0" applyFont="1" applyFill="1" applyBorder="1" applyAlignment="1">
      <alignment horizontal="center" vertical="center"/>
    </xf>
    <xf numFmtId="0" fontId="90" fillId="27" borderId="12" xfId="0" applyFont="1" applyFill="1" applyBorder="1" applyAlignment="1">
      <alignment horizontal="center" vertical="center"/>
    </xf>
    <xf numFmtId="0" fontId="90" fillId="27" borderId="17" xfId="0" applyFont="1" applyFill="1" applyBorder="1" applyAlignment="1">
      <alignment horizontal="center" vertical="center"/>
    </xf>
    <xf numFmtId="1" fontId="91" fillId="27" borderId="27" xfId="0" applyNumberFormat="1" applyFont="1" applyFill="1" applyBorder="1" applyAlignment="1">
      <alignment horizontal="center" vertical="distributed"/>
    </xf>
    <xf numFmtId="1" fontId="91" fillId="27" borderId="31" xfId="0" applyNumberFormat="1" applyFont="1" applyFill="1" applyBorder="1" applyAlignment="1">
      <alignment horizontal="center" vertical="distributed"/>
    </xf>
    <xf numFmtId="0" fontId="21" fillId="27" borderId="43" xfId="0" applyFont="1" applyFill="1" applyBorder="1"/>
    <xf numFmtId="0" fontId="21" fillId="27" borderId="31" xfId="0" applyFont="1" applyFill="1" applyBorder="1"/>
    <xf numFmtId="0" fontId="121" fillId="27" borderId="39" xfId="0" applyFont="1" applyFill="1" applyBorder="1" applyAlignment="1">
      <alignment horizontal="right" vertical="center"/>
    </xf>
    <xf numFmtId="0" fontId="121" fillId="27" borderId="12" xfId="0" applyFont="1" applyFill="1" applyBorder="1" applyAlignment="1">
      <alignment horizontal="right" vertical="center"/>
    </xf>
    <xf numFmtId="0" fontId="121" fillId="27" borderId="17" xfId="0" applyFont="1" applyFill="1" applyBorder="1" applyAlignment="1">
      <alignment horizontal="right" vertical="center"/>
    </xf>
    <xf numFmtId="0" fontId="21" fillId="27" borderId="27" xfId="0" applyFont="1" applyFill="1" applyBorder="1" applyAlignment="1">
      <alignment horizontal="center" vertical="center" textRotation="180"/>
    </xf>
    <xf numFmtId="0" fontId="21" fillId="27" borderId="43" xfId="0" applyFont="1" applyFill="1" applyBorder="1" applyAlignment="1">
      <alignment horizontal="center" vertical="center" textRotation="180"/>
    </xf>
    <xf numFmtId="0" fontId="21" fillId="27" borderId="31" xfId="0" applyFont="1" applyFill="1" applyBorder="1" applyAlignment="1">
      <alignment horizontal="center" vertical="center" textRotation="180"/>
    </xf>
    <xf numFmtId="1" fontId="115" fillId="27" borderId="27" xfId="0" applyNumberFormat="1" applyFont="1" applyFill="1" applyBorder="1" applyAlignment="1">
      <alignment horizontal="center" vertical="distributed"/>
    </xf>
    <xf numFmtId="1" fontId="115" fillId="27" borderId="31" xfId="0" applyNumberFormat="1" applyFont="1" applyFill="1" applyBorder="1" applyAlignment="1">
      <alignment horizontal="center" vertical="distributed"/>
    </xf>
    <xf numFmtId="1" fontId="94" fillId="27" borderId="27" xfId="0" applyNumberFormat="1" applyFont="1" applyFill="1" applyBorder="1" applyAlignment="1">
      <alignment horizontal="center" vertical="distributed" readingOrder="2"/>
    </xf>
    <xf numFmtId="1" fontId="94" fillId="27" borderId="31" xfId="0" applyNumberFormat="1" applyFont="1" applyFill="1" applyBorder="1" applyAlignment="1">
      <alignment horizontal="center" vertical="distributed" readingOrder="2"/>
    </xf>
    <xf numFmtId="2" fontId="87" fillId="27" borderId="27" xfId="0" applyNumberFormat="1" applyFont="1" applyFill="1" applyBorder="1" applyAlignment="1">
      <alignment horizontal="center" vertical="center"/>
    </xf>
    <xf numFmtId="2" fontId="87" fillId="27" borderId="31" xfId="0" applyNumberFormat="1" applyFont="1" applyFill="1" applyBorder="1" applyAlignment="1">
      <alignment horizontal="center" vertical="center"/>
    </xf>
    <xf numFmtId="2" fontId="69" fillId="27" borderId="27" xfId="0" applyNumberFormat="1" applyFont="1" applyFill="1" applyBorder="1" applyAlignment="1">
      <alignment horizontal="center" vertical="center"/>
    </xf>
    <xf numFmtId="2" fontId="69" fillId="27" borderId="31" xfId="0" applyNumberFormat="1" applyFont="1" applyFill="1" applyBorder="1" applyAlignment="1">
      <alignment horizontal="center" vertical="center"/>
    </xf>
    <xf numFmtId="1" fontId="21" fillId="27" borderId="43" xfId="0" applyNumberFormat="1" applyFont="1" applyFill="1" applyBorder="1"/>
    <xf numFmtId="1" fontId="87" fillId="27" borderId="27" xfId="0" applyNumberFormat="1" applyFont="1" applyFill="1" applyBorder="1" applyAlignment="1">
      <alignment horizontal="center" vertical="distributed"/>
    </xf>
    <xf numFmtId="1" fontId="87" fillId="27" borderId="31" xfId="0" applyNumberFormat="1" applyFont="1" applyFill="1" applyBorder="1" applyAlignment="1">
      <alignment horizontal="center" vertical="distributed"/>
    </xf>
    <xf numFmtId="4" fontId="91" fillId="27" borderId="27" xfId="0" applyNumberFormat="1" applyFont="1" applyFill="1" applyBorder="1" applyAlignment="1">
      <alignment horizontal="center" vertical="center"/>
    </xf>
    <xf numFmtId="4" fontId="91" fillId="27" borderId="31" xfId="0" applyNumberFormat="1" applyFont="1" applyFill="1" applyBorder="1" applyAlignment="1">
      <alignment horizontal="center" vertical="center"/>
    </xf>
    <xf numFmtId="49" fontId="90" fillId="27" borderId="43" xfId="0" applyNumberFormat="1" applyFont="1" applyFill="1" applyBorder="1" applyAlignment="1">
      <alignment horizontal="right" vertical="center" textRotation="180"/>
    </xf>
    <xf numFmtId="49" fontId="90" fillId="27" borderId="31" xfId="0" applyNumberFormat="1" applyFont="1" applyFill="1" applyBorder="1" applyAlignment="1">
      <alignment horizontal="right" vertical="center" textRotation="180"/>
    </xf>
    <xf numFmtId="49" fontId="90" fillId="27" borderId="27" xfId="0" applyNumberFormat="1" applyFont="1" applyFill="1" applyBorder="1" applyAlignment="1">
      <alignment horizontal="center" vertical="center" textRotation="180"/>
    </xf>
    <xf numFmtId="49" fontId="90" fillId="27" borderId="43" xfId="0" applyNumberFormat="1" applyFont="1" applyFill="1" applyBorder="1" applyAlignment="1">
      <alignment horizontal="center" vertical="center" textRotation="180"/>
    </xf>
    <xf numFmtId="49" fontId="90" fillId="27" borderId="31" xfId="0" applyNumberFormat="1" applyFont="1" applyFill="1" applyBorder="1" applyAlignment="1">
      <alignment horizontal="center" vertical="center" textRotation="180"/>
    </xf>
    <xf numFmtId="0" fontId="25" fillId="27" borderId="39" xfId="0" applyFont="1" applyFill="1" applyBorder="1" applyAlignment="1">
      <alignment horizontal="right" vertical="center"/>
    </xf>
    <xf numFmtId="0" fontId="25" fillId="27" borderId="12" xfId="0" applyFont="1" applyFill="1" applyBorder="1" applyAlignment="1">
      <alignment horizontal="right" vertical="center"/>
    </xf>
    <xf numFmtId="0" fontId="25" fillId="27" borderId="17" xfId="0" applyFont="1" applyFill="1" applyBorder="1" applyAlignment="1">
      <alignment horizontal="right" vertical="center"/>
    </xf>
    <xf numFmtId="4" fontId="113" fillId="27" borderId="27" xfId="0" applyNumberFormat="1" applyFont="1" applyFill="1" applyBorder="1" applyAlignment="1">
      <alignment horizontal="center" vertical="center"/>
    </xf>
    <xf numFmtId="4" fontId="113" fillId="27" borderId="31" xfId="0" applyNumberFormat="1" applyFont="1" applyFill="1" applyBorder="1" applyAlignment="1">
      <alignment horizontal="center" vertical="center"/>
    </xf>
    <xf numFmtId="1" fontId="67" fillId="27" borderId="27" xfId="0" applyNumberFormat="1" applyFont="1" applyFill="1" applyBorder="1" applyAlignment="1">
      <alignment horizontal="center" vertical="distributed" readingOrder="2"/>
    </xf>
    <xf numFmtId="1" fontId="67" fillId="27" borderId="31" xfId="0" applyNumberFormat="1" applyFont="1" applyFill="1" applyBorder="1" applyAlignment="1">
      <alignment horizontal="center" vertical="distributed" readingOrder="2"/>
    </xf>
    <xf numFmtId="4" fontId="82" fillId="27" borderId="27" xfId="0" applyNumberFormat="1" applyFont="1" applyFill="1" applyBorder="1" applyAlignment="1">
      <alignment horizontal="center" vertical="center"/>
    </xf>
    <xf numFmtId="4" fontId="84" fillId="27" borderId="27" xfId="0" applyNumberFormat="1" applyFont="1" applyFill="1" applyBorder="1" applyAlignment="1">
      <alignment horizontal="center" vertical="center"/>
    </xf>
    <xf numFmtId="0" fontId="114" fillId="27" borderId="39" xfId="0" applyFont="1" applyFill="1" applyBorder="1" applyAlignment="1">
      <alignment horizontal="right" vertical="center"/>
    </xf>
    <xf numFmtId="0" fontId="114" fillId="27" borderId="12" xfId="0" applyFont="1" applyFill="1" applyBorder="1" applyAlignment="1">
      <alignment horizontal="right" vertical="center"/>
    </xf>
    <xf numFmtId="0" fontId="114" fillId="27" borderId="17" xfId="0" applyFont="1" applyFill="1" applyBorder="1" applyAlignment="1">
      <alignment horizontal="right" vertical="center"/>
    </xf>
    <xf numFmtId="1" fontId="90" fillId="27" borderId="31" xfId="0" applyNumberFormat="1" applyFont="1" applyFill="1" applyBorder="1" applyAlignment="1">
      <alignment horizontal="right" vertical="center" textRotation="180"/>
    </xf>
    <xf numFmtId="1" fontId="91" fillId="27" borderId="39" xfId="0" applyNumberFormat="1" applyFont="1" applyFill="1" applyBorder="1" applyAlignment="1">
      <alignment horizontal="right" vertical="distributed" wrapText="1" readingOrder="2"/>
    </xf>
    <xf numFmtId="1" fontId="91" fillId="27" borderId="12" xfId="0" applyNumberFormat="1" applyFont="1" applyFill="1" applyBorder="1" applyAlignment="1">
      <alignment horizontal="right" vertical="distributed" wrapText="1" readingOrder="2"/>
    </xf>
    <xf numFmtId="1" fontId="91" fillId="27" borderId="17" xfId="0" applyNumberFormat="1" applyFont="1" applyFill="1" applyBorder="1" applyAlignment="1">
      <alignment horizontal="right" vertical="distributed" wrapText="1" readingOrder="2"/>
    </xf>
    <xf numFmtId="1" fontId="67" fillId="27" borderId="28" xfId="77" applyNumberFormat="1" applyFont="1" applyFill="1" applyBorder="1" applyAlignment="1" applyProtection="1">
      <alignment horizontal="center" vertical="center" wrapText="1"/>
      <protection locked="0"/>
    </xf>
    <xf numFmtId="1" fontId="67" fillId="27" borderId="0" xfId="77" applyNumberFormat="1" applyFont="1" applyFill="1" applyBorder="1" applyAlignment="1" applyProtection="1">
      <alignment horizontal="center" vertical="center" wrapText="1"/>
      <protection locked="0"/>
    </xf>
    <xf numFmtId="1" fontId="25" fillId="27" borderId="32" xfId="77" applyNumberFormat="1" applyFont="1" applyFill="1" applyBorder="1" applyAlignment="1" applyProtection="1">
      <alignment horizontal="right" vertical="center"/>
      <protection locked="0"/>
    </xf>
    <xf numFmtId="1" fontId="25" fillId="27" borderId="0" xfId="77" applyNumberFormat="1" applyFont="1" applyFill="1" applyBorder="1" applyAlignment="1" applyProtection="1">
      <alignment horizontal="right" vertical="center"/>
      <protection locked="0"/>
    </xf>
    <xf numFmtId="1" fontId="25" fillId="27" borderId="34" xfId="77" applyNumberFormat="1" applyFont="1" applyFill="1" applyBorder="1" applyAlignment="1" applyProtection="1">
      <alignment horizontal="right" vertical="center"/>
      <protection locked="0"/>
    </xf>
    <xf numFmtId="1" fontId="25" fillId="27" borderId="15" xfId="77" applyNumberFormat="1" applyFont="1" applyFill="1" applyBorder="1" applyAlignment="1" applyProtection="1">
      <alignment horizontal="right" vertical="center"/>
      <protection locked="0"/>
    </xf>
    <xf numFmtId="1" fontId="25" fillId="27" borderId="54" xfId="77" applyNumberFormat="1" applyFont="1" applyFill="1" applyBorder="1" applyAlignment="1" applyProtection="1">
      <alignment horizontal="right" vertical="center"/>
      <protection locked="0"/>
    </xf>
    <xf numFmtId="3" fontId="30" fillId="27" borderId="0" xfId="77" applyNumberFormat="1" applyFont="1" applyFill="1" applyBorder="1" applyAlignment="1" applyProtection="1">
      <alignment horizontal="center" vertical="center" wrapText="1"/>
      <protection locked="0"/>
    </xf>
    <xf numFmtId="3" fontId="30" fillId="27" borderId="15" xfId="77" applyNumberFormat="1" applyFont="1" applyFill="1" applyBorder="1" applyAlignment="1" applyProtection="1">
      <alignment horizontal="center" vertical="center" wrapText="1"/>
      <protection locked="0"/>
    </xf>
    <xf numFmtId="1" fontId="90" fillId="27" borderId="27" xfId="0" applyNumberFormat="1" applyFont="1" applyFill="1" applyBorder="1" applyAlignment="1">
      <alignment horizontal="center" vertical="center" textRotation="90"/>
    </xf>
    <xf numFmtId="1" fontId="90" fillId="27" borderId="31" xfId="0" applyNumberFormat="1" applyFont="1" applyFill="1" applyBorder="1" applyAlignment="1">
      <alignment horizontal="center" vertical="center" textRotation="90"/>
    </xf>
    <xf numFmtId="1" fontId="90" fillId="27" borderId="27" xfId="0" applyNumberFormat="1" applyFont="1" applyFill="1" applyBorder="1" applyAlignment="1">
      <alignment horizontal="center" vertical="center"/>
    </xf>
    <xf numFmtId="1" fontId="90" fillId="27" borderId="31" xfId="0" applyNumberFormat="1" applyFont="1" applyFill="1" applyBorder="1" applyAlignment="1">
      <alignment horizontal="center" vertical="center"/>
    </xf>
    <xf numFmtId="1" fontId="90" fillId="27" borderId="39" xfId="0" applyNumberFormat="1" applyFont="1" applyFill="1" applyBorder="1" applyAlignment="1">
      <alignment horizontal="center" vertical="center"/>
    </xf>
    <xf numFmtId="1" fontId="90" fillId="27" borderId="12" xfId="0" applyNumberFormat="1" applyFont="1" applyFill="1" applyBorder="1" applyAlignment="1">
      <alignment horizontal="center" vertical="center"/>
    </xf>
    <xf numFmtId="1" fontId="90" fillId="27" borderId="17" xfId="0" applyNumberFormat="1" applyFont="1" applyFill="1" applyBorder="1" applyAlignment="1">
      <alignment horizontal="center" vertical="center"/>
    </xf>
    <xf numFmtId="1" fontId="91" fillId="27" borderId="39" xfId="0" applyNumberFormat="1" applyFont="1" applyFill="1" applyBorder="1" applyAlignment="1">
      <alignment horizontal="center" vertical="center"/>
    </xf>
    <xf numFmtId="1" fontId="91" fillId="27" borderId="17" xfId="0" applyNumberFormat="1" applyFont="1" applyFill="1" applyBorder="1" applyAlignment="1">
      <alignment horizontal="center" vertical="center"/>
    </xf>
    <xf numFmtId="0" fontId="21" fillId="27" borderId="27" xfId="0" applyFont="1" applyFill="1" applyBorder="1" applyAlignment="1">
      <alignment horizontal="center" vertical="center"/>
    </xf>
    <xf numFmtId="0" fontId="21" fillId="27" borderId="31" xfId="0" applyFont="1" applyFill="1" applyBorder="1" applyAlignment="1">
      <alignment horizontal="center" vertical="center"/>
    </xf>
    <xf numFmtId="1" fontId="92" fillId="27" borderId="39" xfId="0" applyNumberFormat="1" applyFont="1" applyFill="1" applyBorder="1" applyAlignment="1">
      <alignment horizontal="right" vertical="distributed" wrapText="1" readingOrder="2"/>
    </xf>
    <xf numFmtId="1" fontId="92" fillId="27" borderId="12" xfId="0" applyNumberFormat="1" applyFont="1" applyFill="1" applyBorder="1" applyAlignment="1">
      <alignment horizontal="right" vertical="distributed" readingOrder="2"/>
    </xf>
    <xf numFmtId="1" fontId="92" fillId="27" borderId="17" xfId="0" applyNumberFormat="1" applyFont="1" applyFill="1" applyBorder="1" applyAlignment="1">
      <alignment horizontal="right" vertical="distributed" readingOrder="2"/>
    </xf>
    <xf numFmtId="3" fontId="87" fillId="27" borderId="27" xfId="0" applyNumberFormat="1" applyFont="1" applyFill="1" applyBorder="1" applyAlignment="1">
      <alignment horizontal="center" vertical="center"/>
    </xf>
    <xf numFmtId="3" fontId="87" fillId="27" borderId="31" xfId="0" applyNumberFormat="1" applyFont="1" applyFill="1" applyBorder="1" applyAlignment="1">
      <alignment horizontal="center" vertical="center"/>
    </xf>
    <xf numFmtId="0" fontId="83" fillId="27" borderId="39" xfId="0" applyFont="1" applyFill="1" applyBorder="1" applyAlignment="1">
      <alignment horizontal="right" vertical="center"/>
    </xf>
    <xf numFmtId="0" fontId="83" fillId="27" borderId="12" xfId="0" applyFont="1" applyFill="1" applyBorder="1" applyAlignment="1">
      <alignment horizontal="right" vertical="center"/>
    </xf>
    <xf numFmtId="0" fontId="83" fillId="27" borderId="17" xfId="0" applyFont="1" applyFill="1" applyBorder="1" applyAlignment="1">
      <alignment horizontal="right" vertical="center"/>
    </xf>
    <xf numFmtId="0" fontId="30" fillId="0" borderId="36" xfId="219" applyFont="1" applyFill="1" applyBorder="1" applyAlignment="1">
      <alignment horizontal="center" vertical="center" wrapText="1" readingOrder="2"/>
    </xf>
    <xf numFmtId="3" fontId="24" fillId="0" borderId="15" xfId="219" applyNumberFormat="1" applyFont="1" applyFill="1" applyBorder="1" applyAlignment="1">
      <alignment horizontal="center" vertical="center"/>
    </xf>
    <xf numFmtId="3" fontId="24" fillId="0" borderId="54" xfId="219" applyNumberFormat="1" applyFont="1" applyFill="1" applyBorder="1" applyAlignment="1">
      <alignment horizontal="center" vertical="center"/>
    </xf>
    <xf numFmtId="1" fontId="23" fillId="0" borderId="39" xfId="223" applyNumberFormat="1" applyFont="1" applyFill="1" applyBorder="1" applyAlignment="1" applyProtection="1">
      <alignment horizontal="center" vertical="center" wrapText="1"/>
      <protection locked="0"/>
    </xf>
    <xf numFmtId="1" fontId="23" fillId="0" borderId="12" xfId="223" applyNumberFormat="1" applyFont="1" applyFill="1" applyBorder="1" applyAlignment="1" applyProtection="1">
      <alignment horizontal="center" vertical="center" wrapText="1"/>
      <protection locked="0"/>
    </xf>
    <xf numFmtId="1" fontId="23" fillId="0" borderId="17" xfId="223" applyNumberFormat="1" applyFont="1" applyFill="1" applyBorder="1" applyAlignment="1" applyProtection="1">
      <alignment horizontal="center" vertical="center" wrapText="1"/>
      <protection locked="0"/>
    </xf>
    <xf numFmtId="49" fontId="23" fillId="28" borderId="39" xfId="223" applyNumberFormat="1" applyFont="1" applyFill="1" applyBorder="1" applyAlignment="1" applyProtection="1">
      <alignment horizontal="center" vertical="center"/>
      <protection locked="0"/>
    </xf>
    <xf numFmtId="49" fontId="23" fillId="28" borderId="12" xfId="223" applyNumberFormat="1" applyFont="1" applyFill="1" applyBorder="1" applyAlignment="1" applyProtection="1">
      <alignment horizontal="center" vertical="center"/>
      <protection locked="0"/>
    </xf>
    <xf numFmtId="49" fontId="23" fillId="28" borderId="17" xfId="223" applyNumberFormat="1" applyFont="1" applyFill="1" applyBorder="1" applyAlignment="1" applyProtection="1">
      <alignment horizontal="center" vertical="center"/>
      <protection locked="0"/>
    </xf>
    <xf numFmtId="1" fontId="27" fillId="0" borderId="27" xfId="223" applyNumberFormat="1" applyFont="1" applyFill="1" applyBorder="1" applyAlignment="1" applyProtection="1">
      <alignment horizontal="center" vertical="center" wrapText="1"/>
      <protection locked="0"/>
    </xf>
    <xf numFmtId="1" fontId="27" fillId="0" borderId="43" xfId="223" applyNumberFormat="1" applyFont="1" applyFill="1" applyBorder="1" applyAlignment="1" applyProtection="1">
      <alignment horizontal="center" vertical="center" wrapText="1"/>
      <protection locked="0"/>
    </xf>
    <xf numFmtId="1" fontId="27" fillId="0" borderId="31" xfId="223" applyNumberFormat="1" applyFont="1" applyFill="1" applyBorder="1" applyAlignment="1" applyProtection="1">
      <alignment horizontal="center" vertical="center" wrapText="1"/>
      <protection locked="0"/>
    </xf>
    <xf numFmtId="1" fontId="29" fillId="0" borderId="27" xfId="223" applyNumberFormat="1" applyFont="1" applyFill="1" applyBorder="1" applyAlignment="1" applyProtection="1">
      <alignment horizontal="center" vertical="center" wrapText="1"/>
      <protection locked="0"/>
    </xf>
    <xf numFmtId="1" fontId="29" fillId="0" borderId="43" xfId="223" applyNumberFormat="1" applyFont="1" applyFill="1" applyBorder="1" applyAlignment="1" applyProtection="1">
      <alignment horizontal="center" vertical="center" wrapText="1"/>
      <protection locked="0"/>
    </xf>
    <xf numFmtId="1" fontId="29" fillId="0" borderId="31" xfId="223" applyNumberFormat="1" applyFont="1" applyFill="1" applyBorder="1" applyAlignment="1" applyProtection="1">
      <alignment horizontal="center" vertical="center" wrapText="1"/>
      <protection locked="0"/>
    </xf>
    <xf numFmtId="3" fontId="27" fillId="0" borderId="27" xfId="223" applyNumberFormat="1" applyFont="1" applyFill="1" applyBorder="1" applyAlignment="1" applyProtection="1">
      <alignment horizontal="center" vertical="center" wrapText="1"/>
      <protection locked="0"/>
    </xf>
    <xf numFmtId="3" fontId="27" fillId="0" borderId="43" xfId="223" applyNumberFormat="1" applyFont="1" applyFill="1" applyBorder="1" applyAlignment="1" applyProtection="1">
      <alignment horizontal="center" vertical="center" wrapText="1"/>
      <protection locked="0"/>
    </xf>
    <xf numFmtId="3" fontId="27" fillId="0" borderId="31" xfId="223" applyNumberFormat="1" applyFont="1" applyFill="1" applyBorder="1" applyAlignment="1" applyProtection="1">
      <alignment horizontal="center" vertical="center" wrapText="1"/>
      <protection locked="0"/>
    </xf>
    <xf numFmtId="3" fontId="27" fillId="0" borderId="39" xfId="223" applyNumberFormat="1" applyFont="1" applyFill="1" applyBorder="1" applyAlignment="1" applyProtection="1">
      <alignment horizontal="center" vertical="center" wrapText="1"/>
      <protection locked="0"/>
    </xf>
    <xf numFmtId="3" fontId="27" fillId="0" borderId="12" xfId="223" applyNumberFormat="1" applyFont="1" applyFill="1" applyBorder="1" applyAlignment="1" applyProtection="1">
      <alignment horizontal="center" vertical="center" wrapText="1"/>
      <protection locked="0"/>
    </xf>
    <xf numFmtId="3" fontId="27" fillId="0" borderId="17" xfId="223" applyNumberFormat="1" applyFont="1" applyFill="1" applyBorder="1" applyAlignment="1" applyProtection="1">
      <alignment horizontal="center" vertical="center" wrapText="1"/>
      <protection locked="0"/>
    </xf>
    <xf numFmtId="1" fontId="27" fillId="0" borderId="39" xfId="223" applyNumberFormat="1" applyFont="1" applyFill="1" applyBorder="1" applyAlignment="1" applyProtection="1">
      <alignment horizontal="center" vertical="center" wrapText="1"/>
      <protection locked="0"/>
    </xf>
    <xf numFmtId="1" fontId="27" fillId="0" borderId="17" xfId="223" applyNumberFormat="1" applyFont="1" applyFill="1" applyBorder="1" applyAlignment="1" applyProtection="1">
      <alignment horizontal="center" vertical="center" wrapText="1"/>
      <protection locked="0"/>
    </xf>
    <xf numFmtId="4" fontId="69" fillId="27" borderId="1" xfId="0" applyNumberFormat="1" applyFont="1" applyFill="1" applyBorder="1" applyAlignment="1">
      <alignment horizontal="center" vertical="center"/>
    </xf>
    <xf numFmtId="1" fontId="87" fillId="27" borderId="1" xfId="0" applyNumberFormat="1" applyFont="1" applyFill="1" applyBorder="1" applyAlignment="1">
      <alignment horizontal="center" vertical="distributed" readingOrder="2"/>
    </xf>
    <xf numFmtId="0" fontId="90" fillId="33" borderId="39" xfId="0" applyFont="1" applyFill="1" applyBorder="1" applyAlignment="1">
      <alignment horizontal="center" vertical="center"/>
    </xf>
    <xf numFmtId="0" fontId="90" fillId="33" borderId="12" xfId="0" applyFont="1" applyFill="1" applyBorder="1" applyAlignment="1">
      <alignment horizontal="center" vertical="center"/>
    </xf>
    <xf numFmtId="0" fontId="90" fillId="33" borderId="17" xfId="0" applyFont="1" applyFill="1" applyBorder="1" applyAlignment="1">
      <alignment horizontal="center" vertical="center"/>
    </xf>
    <xf numFmtId="1" fontId="90" fillId="0" borderId="1" xfId="0" applyNumberFormat="1" applyFont="1" applyBorder="1" applyAlignment="1">
      <alignment horizontal="right" vertical="center" textRotation="180"/>
    </xf>
    <xf numFmtId="1" fontId="21" fillId="0" borderId="1" xfId="0" applyNumberFormat="1" applyFont="1" applyBorder="1"/>
    <xf numFmtId="1" fontId="91" fillId="0" borderId="1" xfId="0" applyNumberFormat="1" applyFont="1" applyBorder="1" applyAlignment="1">
      <alignment horizontal="left" vertical="distributed"/>
    </xf>
    <xf numFmtId="4" fontId="87" fillId="27" borderId="1" xfId="0" applyNumberFormat="1" applyFont="1" applyFill="1" applyBorder="1" applyAlignment="1">
      <alignment horizontal="center" vertical="center"/>
    </xf>
    <xf numFmtId="49" fontId="90" fillId="0" borderId="1" xfId="0" applyNumberFormat="1" applyFont="1" applyBorder="1" applyAlignment="1">
      <alignment horizontal="right" vertical="center" textRotation="180"/>
    </xf>
    <xf numFmtId="49" fontId="21" fillId="0" borderId="1" xfId="0" applyNumberFormat="1" applyFont="1" applyBorder="1"/>
    <xf numFmtId="1" fontId="90" fillId="0" borderId="1" xfId="0" applyNumberFormat="1" applyFont="1" applyBorder="1" applyAlignment="1">
      <alignment horizontal="center" vertical="center" textRotation="90"/>
    </xf>
    <xf numFmtId="1" fontId="90" fillId="0" borderId="1" xfId="0" applyNumberFormat="1" applyFont="1" applyBorder="1" applyAlignment="1">
      <alignment horizontal="center" vertical="center"/>
    </xf>
    <xf numFmtId="0" fontId="21" fillId="0" borderId="1" xfId="0" applyFont="1" applyBorder="1" applyAlignment="1">
      <alignment horizontal="center" vertical="center"/>
    </xf>
    <xf numFmtId="0" fontId="125" fillId="33" borderId="0" xfId="73" applyFont="1" applyFill="1"/>
    <xf numFmtId="0" fontId="126" fillId="33" borderId="1" xfId="73" applyFont="1" applyFill="1" applyBorder="1" applyAlignment="1" applyProtection="1">
      <alignment horizontal="right"/>
      <protection locked="0"/>
    </xf>
    <xf numFmtId="0" fontId="127" fillId="33" borderId="1" xfId="73" applyFont="1" applyFill="1" applyBorder="1" applyAlignment="1" applyProtection="1">
      <alignment horizontal="right"/>
      <protection locked="0"/>
    </xf>
    <xf numFmtId="0" fontId="126" fillId="33" borderId="1" xfId="73" applyFont="1" applyFill="1" applyBorder="1" applyAlignment="1" applyProtection="1">
      <alignment horizontal="right" vertical="center"/>
      <protection locked="0"/>
    </xf>
    <xf numFmtId="0" fontId="21" fillId="0" borderId="1" xfId="69" applyFont="1" applyBorder="1"/>
    <xf numFmtId="0" fontId="89" fillId="0" borderId="1" xfId="69" applyFont="1" applyBorder="1" applyAlignment="1">
      <alignment horizontal="center" vertical="center"/>
    </xf>
    <xf numFmtId="0" fontId="81" fillId="0" borderId="1" xfId="69" applyFont="1" applyBorder="1" applyAlignment="1">
      <alignment horizontal="center" vertical="center"/>
    </xf>
    <xf numFmtId="0" fontId="77" fillId="0" borderId="1" xfId="69" applyFont="1" applyBorder="1" applyAlignment="1">
      <alignment horizontal="left" vertical="center"/>
    </xf>
    <xf numFmtId="0" fontId="77" fillId="0" borderId="1" xfId="69" applyFont="1" applyBorder="1" applyAlignment="1">
      <alignment horizontal="center" vertical="center"/>
    </xf>
    <xf numFmtId="0" fontId="76" fillId="0" borderId="1" xfId="69" applyFont="1" applyBorder="1" applyAlignment="1">
      <alignment horizontal="center" vertical="center"/>
    </xf>
    <xf numFmtId="2" fontId="24" fillId="0" borderId="1" xfId="69" applyNumberFormat="1" applyFont="1" applyBorder="1" applyAlignment="1">
      <alignment horizontal="center" vertical="center"/>
    </xf>
    <xf numFmtId="2" fontId="30" fillId="0" borderId="1" xfId="69" applyNumberFormat="1" applyFont="1" applyBorder="1" applyAlignment="1">
      <alignment horizontal="center" vertical="center"/>
    </xf>
    <xf numFmtId="0" fontId="40" fillId="0" borderId="1" xfId="69" applyFont="1" applyBorder="1" applyAlignment="1">
      <alignment horizontal="right" vertical="center"/>
    </xf>
    <xf numFmtId="0" fontId="78" fillId="0" borderId="1" xfId="69" applyFont="1" applyBorder="1" applyAlignment="1"/>
    <xf numFmtId="49" fontId="23" fillId="27" borderId="1" xfId="69" applyNumberFormat="1" applyFont="1" applyFill="1" applyBorder="1" applyAlignment="1">
      <alignment horizontal="center" vertical="center"/>
    </xf>
    <xf numFmtId="0" fontId="22" fillId="0" borderId="1" xfId="69" applyFont="1" applyBorder="1" applyAlignment="1">
      <alignment horizontal="right" vertical="center"/>
    </xf>
    <xf numFmtId="3" fontId="23" fillId="0" borderId="1" xfId="69" applyNumberFormat="1" applyFont="1" applyBorder="1" applyAlignment="1">
      <alignment horizontal="center" vertical="center" shrinkToFit="1"/>
    </xf>
    <xf numFmtId="0" fontId="80" fillId="0" borderId="1" xfId="69" applyFont="1" applyBorder="1" applyAlignment="1"/>
    <xf numFmtId="49" fontId="23" fillId="0" borderId="1" xfId="69" applyNumberFormat="1" applyFont="1" applyBorder="1" applyAlignment="1">
      <alignment horizontal="center" vertical="center" readingOrder="2"/>
    </xf>
    <xf numFmtId="49" fontId="21" fillId="0" borderId="1" xfId="69" applyNumberFormat="1" applyFont="1" applyBorder="1" applyAlignment="1">
      <alignment horizontal="center" vertical="center" readingOrder="2"/>
    </xf>
    <xf numFmtId="0" fontId="81" fillId="0" borderId="1" xfId="69" applyFont="1" applyBorder="1" applyAlignment="1">
      <alignment vertical="center"/>
    </xf>
    <xf numFmtId="0" fontId="81" fillId="0" borderId="1" xfId="69" applyFont="1" applyBorder="1" applyAlignment="1">
      <alignment horizontal="center" vertical="center"/>
    </xf>
    <xf numFmtId="0" fontId="35" fillId="0" borderId="40" xfId="69" applyFont="1" applyBorder="1" applyAlignment="1">
      <alignment horizontal="center" vertical="center" wrapText="1"/>
    </xf>
    <xf numFmtId="0" fontId="35" fillId="0" borderId="28" xfId="69" applyFont="1" applyBorder="1" applyAlignment="1">
      <alignment horizontal="center" vertical="center" wrapText="1"/>
    </xf>
    <xf numFmtId="0" fontId="35" fillId="0" borderId="38" xfId="69" applyFont="1" applyBorder="1" applyAlignment="1">
      <alignment horizontal="center" vertical="center" wrapText="1"/>
    </xf>
    <xf numFmtId="0" fontId="35" fillId="0" borderId="29" xfId="69" applyFont="1" applyBorder="1" applyAlignment="1">
      <alignment horizontal="center" vertical="center" wrapText="1"/>
    </xf>
    <xf numFmtId="0" fontId="35" fillId="0" borderId="15" xfId="69" applyFont="1" applyBorder="1" applyAlignment="1">
      <alignment horizontal="center" vertical="center" wrapText="1"/>
    </xf>
    <xf numFmtId="0" fontId="35" fillId="0" borderId="54" xfId="69" applyFont="1" applyBorder="1" applyAlignment="1">
      <alignment horizontal="center" vertical="center" wrapText="1"/>
    </xf>
    <xf numFmtId="0" fontId="88" fillId="0" borderId="39" xfId="69" applyFont="1" applyBorder="1" applyAlignment="1">
      <alignment horizontal="center" vertical="center" wrapText="1"/>
    </xf>
    <xf numFmtId="0" fontId="88" fillId="0" borderId="12" xfId="69" applyFont="1" applyBorder="1" applyAlignment="1">
      <alignment horizontal="center" vertical="center" wrapText="1"/>
    </xf>
    <xf numFmtId="0" fontId="88" fillId="0" borderId="17" xfId="69" applyFont="1" applyBorder="1" applyAlignment="1">
      <alignment horizontal="center" vertical="center" wrapText="1"/>
    </xf>
    <xf numFmtId="0" fontId="21" fillId="0" borderId="0" xfId="73" applyFont="1" applyAlignment="1">
      <alignment horizontal="center"/>
    </xf>
    <xf numFmtId="0" fontId="30" fillId="0" borderId="0" xfId="73" applyFont="1" applyFill="1" applyAlignment="1">
      <alignment horizontal="center" vertical="center" wrapText="1"/>
    </xf>
    <xf numFmtId="0" fontId="26" fillId="0" borderId="0" xfId="73" applyFont="1" applyFill="1" applyBorder="1" applyAlignment="1">
      <alignment horizontal="center" vertical="center"/>
    </xf>
    <xf numFmtId="0" fontId="26" fillId="0" borderId="0" xfId="73" applyFont="1" applyFill="1" applyBorder="1" applyAlignment="1">
      <alignment horizontal="center"/>
    </xf>
    <xf numFmtId="0" fontId="26" fillId="0" borderId="14" xfId="73" applyFont="1" applyFill="1" applyBorder="1" applyAlignment="1">
      <alignment horizontal="center"/>
    </xf>
    <xf numFmtId="0" fontId="21" fillId="0" borderId="0" xfId="73" applyFont="1" applyFill="1" applyAlignment="1">
      <alignment horizontal="center"/>
    </xf>
    <xf numFmtId="0" fontId="30" fillId="0" borderId="0" xfId="73" applyFont="1" applyFill="1" applyAlignment="1">
      <alignment horizontal="center" vertical="center"/>
    </xf>
    <xf numFmtId="0" fontId="67" fillId="0" borderId="0" xfId="73" applyFont="1" applyFill="1" applyAlignment="1">
      <alignment horizontal="center" vertical="center"/>
    </xf>
    <xf numFmtId="1" fontId="25" fillId="0" borderId="0" xfId="77" applyNumberFormat="1" applyFont="1" applyFill="1" applyBorder="1" applyAlignment="1">
      <alignment horizontal="center" vertical="center"/>
    </xf>
    <xf numFmtId="0" fontId="21" fillId="0" borderId="47" xfId="65" applyFont="1" applyFill="1" applyBorder="1" applyAlignment="1">
      <alignment horizontal="center" vertical="center" readingOrder="2"/>
    </xf>
    <xf numFmtId="1" fontId="25" fillId="27" borderId="32" xfId="77" applyNumberFormat="1" applyFont="1" applyFill="1" applyBorder="1" applyAlignment="1" applyProtection="1">
      <alignment horizontal="center" vertical="center"/>
      <protection locked="0"/>
    </xf>
    <xf numFmtId="1" fontId="25" fillId="27" borderId="0" xfId="77" applyNumberFormat="1" applyFont="1" applyFill="1" applyBorder="1" applyAlignment="1" applyProtection="1">
      <alignment horizontal="center" vertical="center"/>
      <protection locked="0"/>
    </xf>
    <xf numFmtId="1" fontId="25" fillId="27" borderId="29" xfId="77" applyNumberFormat="1" applyFont="1" applyFill="1" applyBorder="1" applyAlignment="1" applyProtection="1">
      <alignment horizontal="center" vertical="center"/>
      <protection locked="0"/>
    </xf>
    <xf numFmtId="1" fontId="25" fillId="27" borderId="15" xfId="77" applyNumberFormat="1" applyFont="1" applyFill="1" applyBorder="1" applyAlignment="1" applyProtection="1">
      <alignment horizontal="center" vertical="center"/>
      <protection locked="0"/>
    </xf>
    <xf numFmtId="1" fontId="25" fillId="27" borderId="40" xfId="77" applyNumberFormat="1" applyFont="1" applyFill="1" applyBorder="1" applyAlignment="1" applyProtection="1">
      <alignment horizontal="right" vertical="center" wrapText="1"/>
      <protection locked="0"/>
    </xf>
    <xf numFmtId="1" fontId="25" fillId="27" borderId="28" xfId="77" applyNumberFormat="1" applyFont="1" applyFill="1" applyBorder="1" applyAlignment="1" applyProtection="1">
      <alignment horizontal="right" vertical="center" wrapText="1"/>
      <protection locked="0"/>
    </xf>
    <xf numFmtId="1" fontId="25" fillId="27" borderId="32" xfId="77" applyNumberFormat="1" applyFont="1" applyFill="1" applyBorder="1" applyAlignment="1" applyProtection="1">
      <alignment horizontal="right" vertical="center" wrapText="1"/>
      <protection locked="0"/>
    </xf>
    <xf numFmtId="1" fontId="25" fillId="27" borderId="0" xfId="77" applyNumberFormat="1" applyFont="1" applyFill="1" applyBorder="1" applyAlignment="1" applyProtection="1">
      <alignment horizontal="right" vertical="center" wrapText="1"/>
      <protection locked="0"/>
    </xf>
    <xf numFmtId="1" fontId="21" fillId="27" borderId="28" xfId="77" applyNumberFormat="1" applyFont="1" applyFill="1" applyBorder="1" applyAlignment="1">
      <alignment horizontal="center" vertical="center" wrapText="1"/>
    </xf>
    <xf numFmtId="1" fontId="21" fillId="27" borderId="38" xfId="77" applyNumberFormat="1" applyFont="1" applyFill="1" applyBorder="1" applyAlignment="1">
      <alignment horizontal="center" vertical="center" wrapText="1"/>
    </xf>
    <xf numFmtId="1" fontId="21" fillId="27" borderId="0" xfId="77" applyNumberFormat="1" applyFont="1" applyFill="1" applyBorder="1" applyAlignment="1">
      <alignment horizontal="center" vertical="center" wrapText="1"/>
    </xf>
    <xf numFmtId="1" fontId="21" fillId="27" borderId="34" xfId="77" applyNumberFormat="1" applyFont="1" applyFill="1" applyBorder="1" applyAlignment="1">
      <alignment horizontal="center" vertical="center" wrapText="1"/>
    </xf>
    <xf numFmtId="1" fontId="67" fillId="0" borderId="0" xfId="70" applyNumberFormat="1" applyFont="1" applyFill="1" applyBorder="1" applyAlignment="1">
      <alignment horizontal="center" vertical="center"/>
    </xf>
    <xf numFmtId="1" fontId="90" fillId="0" borderId="31" xfId="0" applyNumberFormat="1" applyFont="1" applyBorder="1" applyAlignment="1">
      <alignment horizontal="center" vertical="center" textRotation="90"/>
    </xf>
    <xf numFmtId="1" fontId="90" fillId="0" borderId="31" xfId="0" applyNumberFormat="1" applyFont="1" applyBorder="1" applyAlignment="1">
      <alignment horizontal="center" vertical="center"/>
    </xf>
    <xf numFmtId="1" fontId="91" fillId="0" borderId="31" xfId="0" applyNumberFormat="1" applyFont="1" applyBorder="1" applyAlignment="1">
      <alignment horizontal="center" vertical="center"/>
    </xf>
    <xf numFmtId="0" fontId="21" fillId="0" borderId="31" xfId="0" applyFont="1" applyBorder="1" applyAlignment="1">
      <alignment horizontal="center" vertical="center"/>
    </xf>
    <xf numFmtId="1" fontId="25" fillId="27" borderId="1" xfId="77" applyNumberFormat="1" applyFont="1" applyFill="1" applyBorder="1" applyAlignment="1" applyProtection="1">
      <alignment horizontal="center" vertical="center" wrapText="1"/>
      <protection locked="0"/>
    </xf>
    <xf numFmtId="1" fontId="67" fillId="27" borderId="1" xfId="77" applyNumberFormat="1" applyFont="1" applyFill="1" applyBorder="1" applyAlignment="1" applyProtection="1">
      <alignment horizontal="center" vertical="center" wrapText="1"/>
      <protection locked="0"/>
    </xf>
    <xf numFmtId="1" fontId="21" fillId="27" borderId="1" xfId="77" applyNumberFormat="1" applyFont="1" applyFill="1" applyBorder="1" applyAlignment="1">
      <alignment horizontal="right" vertical="center" wrapText="1"/>
    </xf>
    <xf numFmtId="1" fontId="25" fillId="27" borderId="1" xfId="77" applyNumberFormat="1" applyFont="1" applyFill="1" applyBorder="1" applyAlignment="1">
      <alignment horizontal="right" vertical="center" wrapText="1"/>
    </xf>
    <xf numFmtId="1" fontId="25" fillId="27" borderId="1" xfId="77" applyNumberFormat="1" applyFont="1" applyFill="1" applyBorder="1" applyAlignment="1" applyProtection="1">
      <alignment horizontal="right" vertical="center"/>
      <protection locked="0"/>
    </xf>
    <xf numFmtId="1" fontId="25" fillId="27" borderId="1" xfId="77" applyNumberFormat="1" applyFont="1" applyFill="1" applyBorder="1" applyAlignment="1" applyProtection="1">
      <alignment vertical="center"/>
      <protection locked="0"/>
    </xf>
    <xf numFmtId="3" fontId="30" fillId="27" borderId="1" xfId="77" applyNumberFormat="1" applyFont="1" applyFill="1" applyBorder="1" applyAlignment="1" applyProtection="1">
      <alignment horizontal="center" vertical="center" wrapText="1"/>
      <protection locked="0"/>
    </xf>
    <xf numFmtId="0" fontId="21" fillId="27" borderId="1" xfId="0" applyFont="1" applyFill="1" applyBorder="1"/>
    <xf numFmtId="1" fontId="25" fillId="0" borderId="1" xfId="77" applyNumberFormat="1" applyFont="1" applyFill="1" applyBorder="1" applyAlignment="1" applyProtection="1">
      <alignment vertical="center"/>
      <protection locked="0"/>
    </xf>
    <xf numFmtId="1" fontId="25" fillId="0" borderId="1" xfId="77" applyNumberFormat="1" applyFont="1" applyFill="1" applyBorder="1" applyAlignment="1" applyProtection="1">
      <alignment horizontal="right" vertical="center"/>
      <protection locked="0"/>
    </xf>
    <xf numFmtId="1" fontId="25" fillId="0" borderId="1" xfId="77" applyNumberFormat="1" applyFont="1" applyFill="1" applyBorder="1" applyAlignment="1" applyProtection="1">
      <alignment horizontal="center" vertical="center"/>
      <protection locked="0"/>
    </xf>
    <xf numFmtId="1" fontId="30" fillId="0" borderId="1" xfId="77" applyNumberFormat="1" applyFont="1" applyFill="1" applyBorder="1" applyAlignment="1" applyProtection="1">
      <alignment horizontal="center" vertical="center" wrapText="1"/>
      <protection locked="0"/>
    </xf>
    <xf numFmtId="1" fontId="24" fillId="0" borderId="1" xfId="77" applyNumberFormat="1" applyFont="1" applyFill="1" applyBorder="1" applyAlignment="1" applyProtection="1">
      <alignment horizontal="center" vertical="center"/>
      <protection locked="0"/>
    </xf>
    <xf numFmtId="1" fontId="24" fillId="0" borderId="1" xfId="77" applyNumberFormat="1" applyFont="1" applyFill="1" applyBorder="1" applyAlignment="1" applyProtection="1">
      <alignment vertical="center"/>
      <protection locked="0"/>
    </xf>
    <xf numFmtId="1" fontId="98" fillId="0" borderId="32" xfId="77" applyNumberFormat="1" applyFont="1" applyFill="1" applyBorder="1" applyAlignment="1" applyProtection="1">
      <alignment horizontal="center" vertical="center" wrapText="1"/>
      <protection locked="0"/>
    </xf>
    <xf numFmtId="1" fontId="98" fillId="0" borderId="0" xfId="77" applyNumberFormat="1" applyFont="1" applyFill="1" applyBorder="1" applyAlignment="1" applyProtection="1">
      <alignment horizontal="center" vertical="center" wrapText="1"/>
      <protection locked="0"/>
    </xf>
    <xf numFmtId="1" fontId="98" fillId="0" borderId="34" xfId="77" applyNumberFormat="1" applyFont="1" applyFill="1" applyBorder="1" applyAlignment="1" applyProtection="1">
      <alignment horizontal="center" vertical="center" wrapText="1"/>
      <protection locked="0"/>
    </xf>
    <xf numFmtId="1" fontId="98" fillId="0" borderId="29" xfId="77" applyNumberFormat="1" applyFont="1" applyFill="1" applyBorder="1" applyAlignment="1" applyProtection="1">
      <alignment horizontal="center" vertical="center" wrapText="1"/>
      <protection locked="0"/>
    </xf>
    <xf numFmtId="1" fontId="98" fillId="0" borderId="15" xfId="77" applyNumberFormat="1" applyFont="1" applyFill="1" applyBorder="1" applyAlignment="1" applyProtection="1">
      <alignment horizontal="center" vertical="center" wrapText="1"/>
      <protection locked="0"/>
    </xf>
    <xf numFmtId="1" fontId="98" fillId="0" borderId="54" xfId="77" applyNumberFormat="1" applyFont="1" applyFill="1" applyBorder="1" applyAlignment="1" applyProtection="1">
      <alignment horizontal="center" vertical="center" wrapText="1"/>
      <protection locked="0"/>
    </xf>
    <xf numFmtId="1" fontId="21" fillId="0" borderId="40" xfId="77" applyNumberFormat="1" applyFont="1" applyFill="1" applyBorder="1" applyAlignment="1">
      <alignment horizontal="center" vertical="center" wrapText="1"/>
    </xf>
    <xf numFmtId="1" fontId="21" fillId="0" borderId="29" xfId="77" applyNumberFormat="1" applyFont="1" applyFill="1" applyBorder="1" applyAlignment="1">
      <alignment horizontal="center" vertical="center" wrapText="1"/>
    </xf>
    <xf numFmtId="1" fontId="21" fillId="0" borderId="15" xfId="77" applyNumberFormat="1" applyFont="1" applyFill="1" applyBorder="1" applyAlignment="1">
      <alignment horizontal="center" vertical="center" wrapText="1"/>
    </xf>
    <xf numFmtId="1" fontId="21" fillId="0" borderId="54" xfId="77" applyNumberFormat="1" applyFont="1" applyFill="1" applyBorder="1" applyAlignment="1">
      <alignment horizontal="center" vertical="center" wrapText="1"/>
    </xf>
    <xf numFmtId="0" fontId="24" fillId="0" borderId="73" xfId="219" applyFont="1" applyFill="1" applyBorder="1" applyAlignment="1">
      <alignment horizontal="center" vertical="center" readingOrder="2"/>
    </xf>
    <xf numFmtId="0" fontId="21" fillId="0" borderId="43" xfId="219" applyFont="1" applyFill="1" applyBorder="1" applyAlignment="1">
      <alignment horizontal="center" vertical="center" wrapText="1" readingOrder="2"/>
    </xf>
    <xf numFmtId="0" fontId="25" fillId="0" borderId="29" xfId="219" applyFont="1" applyFill="1" applyBorder="1" applyAlignment="1">
      <alignment horizontal="center" vertical="center" wrapText="1" readingOrder="2"/>
    </xf>
    <xf numFmtId="0" fontId="0" fillId="0" borderId="54" xfId="0" applyBorder="1"/>
    <xf numFmtId="0" fontId="83" fillId="0" borderId="34" xfId="219" applyFont="1" applyFill="1" applyBorder="1" applyAlignment="1">
      <alignment horizontal="center" vertical="center" wrapText="1" readingOrder="2"/>
    </xf>
    <xf numFmtId="0" fontId="0" fillId="0" borderId="42" xfId="0" applyBorder="1"/>
    <xf numFmtId="0" fontId="28" fillId="0" borderId="1" xfId="65" applyFont="1" applyFill="1" applyBorder="1" applyAlignment="1">
      <alignment horizontal="right" vertical="center" readingOrder="2"/>
    </xf>
    <xf numFmtId="0" fontId="23" fillId="0" borderId="1" xfId="65" applyFont="1" applyFill="1" applyBorder="1" applyAlignment="1">
      <alignment horizontal="center" vertical="center" wrapText="1" readingOrder="2"/>
    </xf>
    <xf numFmtId="1" fontId="25" fillId="0" borderId="1" xfId="77" applyNumberFormat="1" applyFont="1" applyFill="1" applyBorder="1" applyAlignment="1">
      <alignment vertical="center"/>
    </xf>
    <xf numFmtId="0" fontId="24" fillId="0" borderId="1" xfId="65" applyFont="1" applyFill="1" applyBorder="1" applyAlignment="1">
      <alignment horizontal="right" vertical="center" readingOrder="2"/>
    </xf>
    <xf numFmtId="1" fontId="24" fillId="0" borderId="1" xfId="77" applyNumberFormat="1" applyFont="1" applyFill="1" applyBorder="1" applyAlignment="1">
      <alignment horizontal="right" vertical="center" wrapText="1"/>
    </xf>
    <xf numFmtId="0" fontId="30" fillId="0" borderId="1" xfId="65" applyFont="1" applyFill="1" applyBorder="1" applyAlignment="1">
      <alignment horizontal="center" vertical="center" readingOrder="2"/>
    </xf>
    <xf numFmtId="3" fontId="24" fillId="0" borderId="1" xfId="65" applyNumberFormat="1" applyFont="1" applyFill="1" applyBorder="1" applyAlignment="1">
      <alignment horizontal="center" vertical="center" readingOrder="2"/>
    </xf>
    <xf numFmtId="3" fontId="24" fillId="0" borderId="1" xfId="65" applyNumberFormat="1" applyFont="1" applyFill="1" applyBorder="1" applyAlignment="1">
      <alignment vertical="center" readingOrder="2"/>
    </xf>
    <xf numFmtId="0" fontId="21" fillId="0" borderId="39" xfId="65" applyFont="1" applyFill="1" applyBorder="1" applyAlignment="1">
      <alignment horizontal="center" vertical="center" readingOrder="2"/>
    </xf>
    <xf numFmtId="0" fontId="21" fillId="0" borderId="17" xfId="65" applyFont="1" applyFill="1" applyBorder="1" applyAlignment="1">
      <alignment horizontal="center" vertical="center" readingOrder="2"/>
    </xf>
    <xf numFmtId="1" fontId="25" fillId="0" borderId="1" xfId="223" applyNumberFormat="1" applyFont="1" applyFill="1" applyBorder="1" applyAlignment="1" applyProtection="1">
      <alignment vertical="center"/>
      <protection locked="0"/>
    </xf>
    <xf numFmtId="4" fontId="27" fillId="0" borderId="1" xfId="223" applyNumberFormat="1" applyFont="1" applyFill="1" applyBorder="1" applyAlignment="1" applyProtection="1">
      <alignment horizontal="center" vertical="center"/>
      <protection locked="0"/>
    </xf>
    <xf numFmtId="1" fontId="27" fillId="0" borderId="1" xfId="77" applyNumberFormat="1" applyFont="1" applyFill="1" applyBorder="1" applyAlignment="1" applyProtection="1">
      <alignment horizontal="center" vertical="center" wrapText="1"/>
      <protection locked="0"/>
    </xf>
    <xf numFmtId="1" fontId="30" fillId="0" borderId="1" xfId="223" applyNumberFormat="1" applyFont="1" applyFill="1" applyBorder="1" applyAlignment="1" applyProtection="1">
      <alignment horizontal="center" vertical="center" wrapText="1"/>
      <protection locked="0"/>
    </xf>
    <xf numFmtId="1" fontId="24" fillId="0" borderId="1" xfId="223" applyNumberFormat="1" applyFont="1" applyFill="1" applyBorder="1" applyAlignment="1" applyProtection="1">
      <alignment horizontal="center" vertical="center"/>
      <protection locked="0"/>
    </xf>
  </cellXfs>
  <cellStyles count="224">
    <cellStyle name=" " xfId="123"/>
    <cellStyle name=" آلات" xfId="124"/>
    <cellStyle name=" راك بلت" xfId="125"/>
    <cellStyle name="#,##0" xfId="1"/>
    <cellStyle name="(2)" xfId="2"/>
    <cellStyle name="(Built-in)" xfId="126"/>
    <cellStyle name="_MONTH (2)" xfId="3"/>
    <cellStyle name="_نيروي انساني " xfId="127"/>
    <cellStyle name="€_x0004_" xfId="128"/>
    <cellStyle name="¶_x0010_" xfId="129"/>
    <cellStyle name="·_x0004_" xfId="130"/>
    <cellStyle name="0.0" xfId="4"/>
    <cellStyle name="0.00" xfId="5"/>
    <cellStyle name="1" xfId="131"/>
    <cellStyle name="1,2,3,4,5,6,7,8,9,10" xfId="6"/>
    <cellStyle name="2" xfId="132"/>
    <cellStyle name="2 (2)_كٌراف 2" xfId="133"/>
    <cellStyle name="2_كٌراف 2 (2)" xfId="134"/>
    <cellStyle name="20% - Accent1" xfId="7" builtinId="30" customBuiltin="1"/>
    <cellStyle name="20% - Accent2" xfId="8" builtinId="34" customBuiltin="1"/>
    <cellStyle name="20% - Accent3" xfId="9" builtinId="38" customBuiltin="1"/>
    <cellStyle name="20% - Accent4" xfId="10" builtinId="42" customBuiltin="1"/>
    <cellStyle name="20% - Accent5" xfId="11" builtinId="46" customBuiltin="1"/>
    <cellStyle name="20% - Accent6" xfId="12" builtinId="50" customBuiltin="1"/>
    <cellStyle name="2M_S18M " xfId="13"/>
    <cellStyle name="40% - Accent1" xfId="14" builtinId="31" customBuiltin="1"/>
    <cellStyle name="40% - Accent2" xfId="15" builtinId="35" customBuiltin="1"/>
    <cellStyle name="40% - Accent3" xfId="16" builtinId="39" customBuiltin="1"/>
    <cellStyle name="40% - Accent4" xfId="17" builtinId="43" customBuiltin="1"/>
    <cellStyle name="40% - Accent5" xfId="18" builtinId="47" customBuiltin="1"/>
    <cellStyle name="40% - Accent6" xfId="19" builtinId="51" customBuiltin="1"/>
    <cellStyle name="60% - Accent1" xfId="20" builtinId="32" customBuiltin="1"/>
    <cellStyle name="60% - Accent2" xfId="21" builtinId="36" customBuiltin="1"/>
    <cellStyle name="60% - Accent3" xfId="22" builtinId="40" customBuiltin="1"/>
    <cellStyle name="60% - Accent4" xfId="23" builtinId="44" customBuiltin="1"/>
    <cellStyle name="60% - Accent5" xfId="24" builtinId="48" customBuiltin="1"/>
    <cellStyle name="60% - Accent6" xfId="25" builtinId="52" customBuiltin="1"/>
    <cellStyle name="Accent1" xfId="26" builtinId="29" customBuiltin="1"/>
    <cellStyle name="Accent2" xfId="27" builtinId="33" customBuiltin="1"/>
    <cellStyle name="Accent3" xfId="28" builtinId="37" customBuiltin="1"/>
    <cellStyle name="Accent4" xfId="29" builtinId="41" customBuiltin="1"/>
    <cellStyle name="Accent5" xfId="30" builtinId="45" customBuiltin="1"/>
    <cellStyle name="Accent6" xfId="31" builtinId="49" customBuiltin="1"/>
    <cellStyle name="al_اديت ها" xfId="135"/>
    <cellStyle name="Bad" xfId="32" builtinId="27" customBuiltin="1"/>
    <cellStyle name="BOLD" xfId="33"/>
    <cellStyle name="Calculation" xfId="34" builtinId="22" customBuiltin="1"/>
    <cellStyle name="Check Cell" xfId="35" builtinId="23" customBuiltin="1"/>
    <cellStyle name="CheckBox" xfId="36"/>
    <cellStyle name="_x0006__x0008_Colu" xfId="136"/>
    <cellStyle name="Comma 2" xfId="137"/>
    <cellStyle name="Comma 3" xfId="222"/>
    <cellStyle name="Comma0" xfId="37"/>
    <cellStyle name="Currency 2" xfId="138"/>
    <cellStyle name="Currency0" xfId="38"/>
    <cellStyle name="Currency㺘OTD thru NOR " xfId="39"/>
    <cellStyle name="Date" xfId="40"/>
    <cellStyle name="Dati" xfId="41"/>
    <cellStyle name="Dezimal [0]_spare_TPI_MCC" xfId="42"/>
    <cellStyle name="Dezimal_spare_TPI_MCC" xfId="43"/>
    <cellStyle name="et2 (2)_Sheet7" xfId="139"/>
    <cellStyle name="Explanatory Text" xfId="44" builtinId="53" customBuiltin="1"/>
    <cellStyle name="F2" xfId="45"/>
    <cellStyle name="F3" xfId="46"/>
    <cellStyle name="F4" xfId="47"/>
    <cellStyle name="F5" xfId="48"/>
    <cellStyle name="F6" xfId="49"/>
    <cellStyle name="F7" xfId="50"/>
    <cellStyle name="F8" xfId="51"/>
    <cellStyle name="Fixed" xfId="52"/>
    <cellStyle name="Good" xfId="53" builtinId="26" customBuiltin="1"/>
    <cellStyle name="Grey" xfId="54"/>
    <cellStyle name="Heading 1" xfId="55" builtinId="16" customBuiltin="1"/>
    <cellStyle name="Heading 2" xfId="56" builtinId="17" customBuiltin="1"/>
    <cellStyle name="Heading 3" xfId="57" builtinId="18" customBuiltin="1"/>
    <cellStyle name="Heading 4" xfId="58" builtinId="19" customBuiltin="1"/>
    <cellStyle name="heet5_كٌراف 2ô_x0004_لي_1_كٌراف 2_برنامه 1 (2)" xfId="140"/>
    <cellStyle name="Input" xfId="59" builtinId="20" customBuiltin="1"/>
    <cellStyle name="Input [yellow]" xfId="60"/>
    <cellStyle name="item" xfId="141"/>
    <cellStyle name="Linked Cell" xfId="61" builtinId="24" customBuiltin="1"/>
    <cellStyle name="MS_Arabic" xfId="62"/>
    <cellStyle name="N6_x000f_" xfId="142"/>
    <cellStyle name="Neutral" xfId="63" builtinId="28" customBuiltin="1"/>
    <cellStyle name="Normal" xfId="0" builtinId="0"/>
    <cellStyle name="Normal - Style1" xfId="64"/>
    <cellStyle name="Normal 10" xfId="221"/>
    <cellStyle name="Normal 2" xfId="65"/>
    <cellStyle name="Normal 2 2" xfId="66"/>
    <cellStyle name="Normal 2 2 2" xfId="219"/>
    <cellStyle name="Normal 2 3" xfId="67"/>
    <cellStyle name="Normal 2 4" xfId="68"/>
    <cellStyle name="Normal 3" xfId="69"/>
    <cellStyle name="Normal 3 2" xfId="70"/>
    <cellStyle name="Normal 3 2 2" xfId="71"/>
    <cellStyle name="Normal 3 4" xfId="72"/>
    <cellStyle name="Normal 4" xfId="73"/>
    <cellStyle name="Normal 4 2" xfId="74"/>
    <cellStyle name="Normal 4 3" xfId="75"/>
    <cellStyle name="Normal 5" xfId="76"/>
    <cellStyle name="Normal_Book2 2" xfId="77"/>
    <cellStyle name="Normal_Book2 2 2" xfId="223"/>
    <cellStyle name="Normal_فصل تجهيز كارگاه" xfId="220"/>
    <cellStyle name="Note" xfId="78" builtinId="10" customBuiltin="1"/>
    <cellStyle name="NTH (2)" xfId="79"/>
    <cellStyle name="Num" xfId="143"/>
    <cellStyle name="Output" xfId="80" builtinId="21" customBuiltin="1"/>
    <cellStyle name="Pattern_PRINT" xfId="81"/>
    <cellStyle name="Percent [2]" xfId="82"/>
    <cellStyle name="Percent 2" xfId="144"/>
    <cellStyle name="Percent 2 2" xfId="83"/>
    <cellStyle name="Percent 2 3" xfId="84"/>
    <cellStyle name="rabic_S12M (2)" xfId="85"/>
    <cellStyle name="rcent" xfId="145"/>
    <cellStyle name="Rimandi" xfId="86"/>
    <cellStyle name="rmal_بركٌ مالي" xfId="146"/>
    <cellStyle name="s_x0010_" xfId="147"/>
    <cellStyle name="Spelling 1033,0" xfId="148"/>
    <cellStyle name="Style 1" xfId="87"/>
    <cellStyle name="Style 10" xfId="149"/>
    <cellStyle name="Style 11" xfId="150"/>
    <cellStyle name="Style 12" xfId="151"/>
    <cellStyle name="Style 13" xfId="152"/>
    <cellStyle name="Style 14" xfId="153"/>
    <cellStyle name="Style 15" xfId="154"/>
    <cellStyle name="Style 16" xfId="155"/>
    <cellStyle name="Style 17" xfId="156"/>
    <cellStyle name="Style 18" xfId="157"/>
    <cellStyle name="Style 19" xfId="158"/>
    <cellStyle name="Style 2" xfId="159"/>
    <cellStyle name="Style 20" xfId="160"/>
    <cellStyle name="Style 3" xfId="161"/>
    <cellStyle name="Style 4" xfId="162"/>
    <cellStyle name="Style 5" xfId="163"/>
    <cellStyle name="Style 6" xfId="164"/>
    <cellStyle name="Style 7" xfId="165"/>
    <cellStyle name="Style 8" xfId="166"/>
    <cellStyle name="Style 9" xfId="167"/>
    <cellStyle name="t" xfId="168"/>
    <cellStyle name="Title" xfId="88" builtinId="15" customBuiltin="1"/>
    <cellStyle name="Titoletto" xfId="89"/>
    <cellStyle name="TITOLO" xfId="90"/>
    <cellStyle name="TitVerticale" xfId="91"/>
    <cellStyle name="Total" xfId="92" builtinId="25" customBuiltin="1"/>
    <cellStyle name="unit" xfId="169"/>
    <cellStyle name="Unità" xfId="93"/>
    <cellStyle name="ver_Bar2M  (2)" xfId="94"/>
    <cellStyle name="ver2 (4)" xfId="95"/>
    <cellStyle name="Voci" xfId="96"/>
    <cellStyle name="Währung [0]_spare_TPI_MCC" xfId="97"/>
    <cellStyle name="Währung_spare_TPI_MCC" xfId="98"/>
    <cellStyle name="Warning Text" xfId="99" builtinId="11" customBuiltin="1"/>
    <cellStyle name="اتكريت" xfId="170"/>
    <cellStyle name="ار شاتكريت" xfId="171"/>
    <cellStyle name="اشين آلات" xfId="172"/>
    <cellStyle name="اف 2 (2)" xfId="173"/>
    <cellStyle name="آلات" xfId="177"/>
    <cellStyle name="انكار2" xfId="174"/>
    <cellStyle name="اني " xfId="175"/>
    <cellStyle name="اه 2" xfId="176"/>
    <cellStyle name="تجمعي" xfId="178"/>
    <cellStyle name="تحليلي" xfId="179"/>
    <cellStyle name="تكنيك_كٌراف 2" xfId="180"/>
    <cellStyle name="تونل ص دو" xfId="181"/>
    <cellStyle name="تونل ص يك" xfId="182"/>
    <cellStyle name="حليلي" xfId="183"/>
    <cellStyle name="ديت ها" xfId="184"/>
    <cellStyle name="ر شاتكريت" xfId="185"/>
    <cellStyle name="راف 2" xfId="186"/>
    <cellStyle name="ٌراف 2" xfId="187"/>
    <cellStyle name="زمايشكٌاه1" xfId="188"/>
    <cellStyle name="ساني" xfId="189"/>
    <cellStyle name="شاتكريت" xfId="190"/>
    <cellStyle name="شين آلات" xfId="191"/>
    <cellStyle name="ص_x0010_" xfId="192"/>
    <cellStyle name="ف 2" xfId="193"/>
    <cellStyle name="كٌ (2)" xfId="194"/>
    <cellStyle name="ك_1" xfId="195"/>
    <cellStyle name="ك_كٌراف 2" xfId="196"/>
    <cellStyle name="ك_لاينينكٌ (2)" xfId="197"/>
    <cellStyle name="كٌراف 2" xfId="198"/>
    <cellStyle name="كريت" xfId="199"/>
    <cellStyle name="كمث  (2)" xfId="200"/>
    <cellStyle name="ل يك خروجي" xfId="201"/>
    <cellStyle name="ل يك ورودي" xfId="202"/>
    <cellStyle name="لت_جدول تجمعي" xfId="203"/>
    <cellStyle name="لي_كٌراف 2" xfId="204"/>
    <cellStyle name="مانكار2" xfId="205"/>
    <cellStyle name="مث  (2)" xfId="206"/>
    <cellStyle name="نامه 1 (2)" xfId="207"/>
    <cellStyle name="نمودار شاتكريت" xfId="208"/>
    <cellStyle name="ني " xfId="209"/>
    <cellStyle name="ه 1 (2)" xfId="212"/>
    <cellStyle name="هيلي 2" xfId="213"/>
    <cellStyle name="ونل ص يك" xfId="210"/>
    <cellStyle name="وي انساني " xfId="211"/>
    <cellStyle name="ى_x0002_" xfId="214"/>
    <cellStyle name="ے" xfId="215"/>
    <cellStyle name="ي (2)" xfId="216"/>
    <cellStyle name="ي_كٌراف 2" xfId="217"/>
    <cellStyle name="ينينكٌ (2)" xfId="218"/>
    <cellStyle name="고정소숫점" xfId="100"/>
    <cellStyle name="고정출력1" xfId="101"/>
    <cellStyle name="고정출력2" xfId="102"/>
    <cellStyle name="날짜" xfId="103"/>
    <cellStyle name="달러" xfId="104"/>
    <cellStyle name="똿뗦먛귟 [0.00]_PRODUCT DETAIL Q1" xfId="105"/>
    <cellStyle name="똿뗦먛귟_PRODUCT DETAIL Q1" xfId="106"/>
    <cellStyle name="믅됞 [0.00]_PRODUCT DETAIL Q1" xfId="107"/>
    <cellStyle name="믅됞_PRODUCT DETAIL Q1" xfId="108"/>
    <cellStyle name="백분율_ref_list" xfId="109"/>
    <cellStyle name="뷭?_BOOKSHIP" xfId="110"/>
    <cellStyle name="숫자(R)" xfId="111"/>
    <cellStyle name="자리수" xfId="112"/>
    <cellStyle name="자리수0" xfId="113"/>
    <cellStyle name="콤마 [0]_ 비목별 월별기술 " xfId="114"/>
    <cellStyle name="콤마_ 비목별 월별기술 " xfId="115"/>
    <cellStyle name="통화 [0]_12.09 (il shin) (1)" xfId="116"/>
    <cellStyle name="통화_9634매출 " xfId="117"/>
    <cellStyle name="퍼센트" xfId="118"/>
    <cellStyle name="표준_0N-HANDLING " xfId="119"/>
    <cellStyle name="합산" xfId="120"/>
    <cellStyle name="화폐기호" xfId="121"/>
    <cellStyle name="화폐기호0" xfId="1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7</xdr:row>
      <xdr:rowOff>19050</xdr:rowOff>
    </xdr:from>
    <xdr:to>
      <xdr:col>2</xdr:col>
      <xdr:colOff>0</xdr:colOff>
      <xdr:row>8</xdr:row>
      <xdr:rowOff>238125</xdr:rowOff>
    </xdr:to>
    <xdr:sp macro="" textlink="">
      <xdr:nvSpPr>
        <xdr:cNvPr id="64605" name="Line 1"/>
        <xdr:cNvSpPr>
          <a:spLocks noChangeShapeType="1"/>
        </xdr:cNvSpPr>
      </xdr:nvSpPr>
      <xdr:spPr bwMode="auto">
        <a:xfrm>
          <a:off x="157210125" y="1504950"/>
          <a:ext cx="0" cy="495300"/>
        </a:xfrm>
        <a:prstGeom prst="line">
          <a:avLst/>
        </a:prstGeom>
        <a:noFill/>
        <a:ln w="24765">
          <a:solidFill>
            <a:srgbClr val="FF808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335279</xdr:colOff>
      <xdr:row>0</xdr:row>
      <xdr:rowOff>162470</xdr:rowOff>
    </xdr:from>
    <xdr:to>
      <xdr:col>8</xdr:col>
      <xdr:colOff>158981</xdr:colOff>
      <xdr:row>1</xdr:row>
      <xdr:rowOff>175754</xdr:rowOff>
    </xdr:to>
    <xdr:pic>
      <xdr:nvPicPr>
        <xdr:cNvPr id="8"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0194829519" y="162470"/>
          <a:ext cx="448542" cy="257124"/>
        </a:xfrm>
        <a:prstGeom prst="rect">
          <a:avLst/>
        </a:prstGeom>
        <a:noFill/>
        <a:ln w="9525">
          <a:noFill/>
          <a:miter lim="800000"/>
          <a:headEnd/>
          <a:tailEnd/>
        </a:ln>
        <a:effectLst>
          <a:outerShdw dist="107763" dir="18900000" algn="ctr" rotWithShape="0">
            <a:srgbClr val="000000">
              <a:alpha val="50000"/>
            </a:srgbClr>
          </a:outerShdw>
        </a:effec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absolute">
    <xdr:from>
      <xdr:col>8</xdr:col>
      <xdr:colOff>336876</xdr:colOff>
      <xdr:row>0</xdr:row>
      <xdr:rowOff>158751</xdr:rowOff>
    </xdr:from>
    <xdr:to>
      <xdr:col>8</xdr:col>
      <xdr:colOff>866756</xdr:colOff>
      <xdr:row>1</xdr:row>
      <xdr:rowOff>212979</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0192108794" y="158751"/>
          <a:ext cx="529880" cy="295528"/>
        </a:xfrm>
        <a:prstGeom prst="rect">
          <a:avLst/>
        </a:prstGeom>
        <a:noFill/>
        <a:ln w="9525">
          <a:noFill/>
          <a:miter lim="800000"/>
          <a:headEnd/>
          <a:tailEnd/>
        </a:ln>
        <a:effectLst>
          <a:outerShdw dist="107763" dir="18900000" algn="ctr" rotWithShape="0">
            <a:srgbClr val="000000">
              <a:alpha val="50000"/>
            </a:srgbClr>
          </a:outerShdw>
        </a:effectLst>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589;&#1608;&#1585;&#1578;%20&#1608;&#1590;&#1593;&#1740;&#1578;\14xlsx&#1575;&#1585;&#1587;&#1575;&#1604;&#1740;%20&#1576;&#1607;%20&#1606;&#1592;&#1575;&#1585;&#15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طلاعات"/>
      <sheetName val="جلد "/>
      <sheetName val=" خلاصه مالي "/>
      <sheetName val=" خلاصه مالي فهارس "/>
      <sheetName val="مالي ابنیه"/>
      <sheetName val="فصول ابنیه"/>
      <sheetName val="خلاصه متره "/>
      <sheetName val="ريزمتره ابینه"/>
      <sheetName val="مالي برقی"/>
      <sheetName val="فصول برقی"/>
      <sheetName val="خلاصه برقی"/>
      <sheetName val="ريزمتره  برقی"/>
      <sheetName val="مالي مکانیکی"/>
      <sheetName val="فصول مکانیکی"/>
      <sheetName val="خلاصه مکانیکی"/>
      <sheetName val="ریزمتره مکانیکی"/>
    </sheetNames>
    <sheetDataSet>
      <sheetData sheetId="0" refreshError="1">
        <row r="5">
          <cell r="B5" t="str">
            <v>صورت وضعيت موقت شماره14</v>
          </cell>
        </row>
        <row r="15">
          <cell r="B15" t="str">
            <v>کارفرما :شهرداری اصفهان سازمان میادین  میوه و تره بار و ساماندهی مشاغل شهری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23"/>
  <sheetViews>
    <sheetView rightToLeft="1" view="pageBreakPreview" zoomScale="115" zoomScaleNormal="130" zoomScaleSheetLayoutView="115" workbookViewId="0">
      <selection activeCell="B14" sqref="B14"/>
    </sheetView>
  </sheetViews>
  <sheetFormatPr defaultColWidth="9.109375" defaultRowHeight="13.2"/>
  <cols>
    <col min="1" max="1" width="1" style="10" customWidth="1"/>
    <col min="2" max="2" width="85.5546875" style="10" customWidth="1"/>
    <col min="3" max="16384" width="9.109375" style="10"/>
  </cols>
  <sheetData>
    <row r="1" spans="1:2" ht="2.25" customHeight="1">
      <c r="B1" s="698"/>
    </row>
    <row r="2" spans="1:2" ht="2.25" customHeight="1">
      <c r="B2" s="698"/>
    </row>
    <row r="3" spans="1:2" ht="2.25" customHeight="1">
      <c r="B3" s="698"/>
    </row>
    <row r="4" spans="1:2" ht="2.25" customHeight="1">
      <c r="B4" s="698"/>
    </row>
    <row r="5" spans="1:2" s="20" customFormat="1" ht="15">
      <c r="A5" s="10"/>
      <c r="B5" s="699" t="s">
        <v>3081</v>
      </c>
    </row>
    <row r="6" spans="1:2" s="20" customFormat="1" ht="15">
      <c r="B6" s="699"/>
    </row>
    <row r="7" spans="1:2" s="20" customFormat="1" ht="15">
      <c r="B7" s="699" t="s">
        <v>3117</v>
      </c>
    </row>
    <row r="8" spans="1:2" s="20" customFormat="1" ht="15">
      <c r="B8" s="699" t="s">
        <v>3116</v>
      </c>
    </row>
    <row r="9" spans="1:2" s="20" customFormat="1" ht="15">
      <c r="B9" s="699" t="s">
        <v>3114</v>
      </c>
    </row>
    <row r="10" spans="1:2" s="20" customFormat="1" ht="15">
      <c r="B10" s="699" t="s">
        <v>3126</v>
      </c>
    </row>
    <row r="11" spans="1:2" s="20" customFormat="1" ht="15">
      <c r="B11" s="699" t="s">
        <v>3127</v>
      </c>
    </row>
    <row r="12" spans="1:2" s="20" customFormat="1" ht="15">
      <c r="B12" s="699" t="s">
        <v>3128</v>
      </c>
    </row>
    <row r="13" spans="1:2" s="20" customFormat="1" ht="15">
      <c r="B13" s="699" t="s">
        <v>3129</v>
      </c>
    </row>
    <row r="14" spans="1:2" ht="19.5" customHeight="1">
      <c r="B14" s="700" t="s">
        <v>3124</v>
      </c>
    </row>
    <row r="15" spans="1:2" ht="21.75" customHeight="1">
      <c r="B15" s="699" t="s">
        <v>3118</v>
      </c>
    </row>
    <row r="16" spans="1:2" ht="21.75" customHeight="1">
      <c r="B16" s="701" t="s">
        <v>3115</v>
      </c>
    </row>
    <row r="17" spans="2:2" ht="15">
      <c r="B17" s="699" t="s">
        <v>3119</v>
      </c>
    </row>
    <row r="18" spans="2:2" ht="15">
      <c r="B18" s="699" t="s">
        <v>3120</v>
      </c>
    </row>
    <row r="19" spans="2:2" ht="15">
      <c r="B19" s="699" t="s">
        <v>3121</v>
      </c>
    </row>
    <row r="20" spans="2:2" ht="15">
      <c r="B20" s="699" t="s">
        <v>3122</v>
      </c>
    </row>
    <row r="21" spans="2:2" ht="15">
      <c r="B21" s="699" t="s">
        <v>3123</v>
      </c>
    </row>
    <row r="22" spans="2:2" ht="15">
      <c r="B22" s="699" t="s">
        <v>133</v>
      </c>
    </row>
    <row r="23" spans="2:2" ht="15">
      <c r="B23" s="699" t="s">
        <v>133</v>
      </c>
    </row>
  </sheetData>
  <customSheetViews>
    <customSheetView guid="{5F979833-83B6-471E-868C-7104B08B174F}" scale="130" topLeftCell="A4">
      <selection activeCell="B7" sqref="B7"/>
      <pageMargins left="0.75" right="0.75" top="1" bottom="1" header="0.5" footer="0.5"/>
      <pageSetup paperSize="9" orientation="portrait" verticalDpi="0" r:id="rId1"/>
      <headerFooter alignWithMargins="0"/>
    </customSheetView>
  </customSheetViews>
  <hyperlinks>
    <hyperlink ref="A5" location="'فهرست '!D3" display="#'فهرست '!D3"/>
  </hyperlinks>
  <printOptions horizontalCentered="1" verticalCentered="1"/>
  <pageMargins left="0" right="0" top="0" bottom="0" header="0" footer="0"/>
  <pageSetup paperSize="9" orientation="portrait" r:id="rId2"/>
  <headerFooter differentOddEven="1" scaleWithDoc="0"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80"/>
  <sheetViews>
    <sheetView rightToLeft="1" view="pageBreakPreview" zoomScaleSheetLayoutView="100" workbookViewId="0">
      <selection activeCell="F4" sqref="F4:G4"/>
    </sheetView>
  </sheetViews>
  <sheetFormatPr defaultColWidth="9.109375" defaultRowHeight="20.100000000000001" customHeight="1"/>
  <cols>
    <col min="1" max="1" width="5" style="312" customWidth="1"/>
    <col min="2" max="2" width="18.33203125" style="312" customWidth="1"/>
    <col min="3" max="3" width="12.44140625" style="312" customWidth="1"/>
    <col min="4" max="4" width="12.6640625" style="360" customWidth="1"/>
    <col min="5" max="5" width="12.6640625" style="361" customWidth="1"/>
    <col min="6" max="6" width="12.6640625" style="360" customWidth="1"/>
    <col min="7" max="7" width="12.6640625" style="361" customWidth="1"/>
    <col min="8" max="8" width="12.6640625" style="360" customWidth="1"/>
    <col min="9" max="9" width="12.6640625" style="361" customWidth="1"/>
    <col min="10" max="10" width="9.44140625" style="312" customWidth="1"/>
    <col min="11" max="11" width="12.6640625" style="360" customWidth="1"/>
    <col min="12" max="12" width="12.6640625" style="361" customWidth="1"/>
    <col min="13" max="13" width="18.5546875" style="309" hidden="1" customWidth="1"/>
    <col min="14" max="14" width="15.88671875" style="310" hidden="1" customWidth="1"/>
    <col min="15" max="15" width="15.88671875" style="309" hidden="1" customWidth="1"/>
    <col min="16" max="16" width="16" style="311" customWidth="1"/>
    <col min="17" max="17" width="14.33203125" style="311" customWidth="1"/>
    <col min="18" max="18" width="9.5546875" style="312" bestFit="1" customWidth="1"/>
    <col min="19" max="16384" width="9.109375" style="312"/>
  </cols>
  <sheetData>
    <row r="1" spans="1:16" ht="25.5" customHeight="1">
      <c r="A1" s="786" t="str">
        <f>اطلاعات!B15</f>
        <v>کارفرما : اداره کل نوسازی مدارس استان ....</v>
      </c>
      <c r="B1" s="786"/>
      <c r="C1" s="786"/>
      <c r="D1" s="786"/>
      <c r="E1" s="787" t="str">
        <f>اطلاعات!B14</f>
        <v>موضوع قرارداد : ساختمان اداره کل نوسازی مدارس...</v>
      </c>
      <c r="F1" s="787"/>
      <c r="G1" s="787"/>
      <c r="H1" s="787"/>
      <c r="I1" s="787"/>
      <c r="J1" s="788" t="str">
        <f>اطلاعات!B16</f>
        <v xml:space="preserve"> قرارداد شماره :  1232579/ر/1399</v>
      </c>
      <c r="K1" s="788"/>
      <c r="L1" s="788"/>
    </row>
    <row r="2" spans="1:16" ht="25.5" customHeight="1">
      <c r="A2" s="789" t="str">
        <f>اطلاعات!B18</f>
        <v>پیمانکار :  مهندسین پیمانکار ....</v>
      </c>
      <c r="B2" s="789"/>
      <c r="C2" s="789"/>
      <c r="D2" s="789"/>
      <c r="E2" s="787"/>
      <c r="F2" s="787"/>
      <c r="G2" s="787"/>
      <c r="H2" s="787"/>
      <c r="I2" s="787"/>
      <c r="J2" s="790"/>
      <c r="K2" s="790"/>
      <c r="L2" s="790"/>
    </row>
    <row r="3" spans="1:16" ht="25.5" customHeight="1">
      <c r="A3" s="794"/>
      <c r="B3" s="795"/>
      <c r="C3" s="791" t="s">
        <v>1842</v>
      </c>
      <c r="D3" s="791"/>
      <c r="E3" s="791"/>
      <c r="F3" s="791"/>
      <c r="G3" s="791"/>
      <c r="H3" s="791"/>
      <c r="I3" s="791"/>
      <c r="J3" s="792" t="str">
        <f>اطلاعات!B9</f>
        <v>دوره کارکرد :</v>
      </c>
      <c r="K3" s="792"/>
      <c r="L3" s="793"/>
    </row>
    <row r="4" spans="1:16" ht="39.75" customHeight="1">
      <c r="A4" s="780" t="s">
        <v>18</v>
      </c>
      <c r="B4" s="781" t="s">
        <v>24</v>
      </c>
      <c r="C4" s="781" t="s">
        <v>122</v>
      </c>
      <c r="D4" s="782" t="s">
        <v>123</v>
      </c>
      <c r="E4" s="783"/>
      <c r="F4" s="782" t="s">
        <v>124</v>
      </c>
      <c r="G4" s="783"/>
      <c r="H4" s="782" t="s">
        <v>35</v>
      </c>
      <c r="I4" s="783"/>
      <c r="J4" s="784" t="s">
        <v>132</v>
      </c>
      <c r="K4" s="782" t="s">
        <v>64</v>
      </c>
      <c r="L4" s="785"/>
      <c r="M4" s="313"/>
      <c r="N4" s="314"/>
      <c r="O4" s="313"/>
      <c r="P4" s="315"/>
    </row>
    <row r="5" spans="1:16" ht="18" customHeight="1" thickBot="1">
      <c r="A5" s="515"/>
      <c r="B5" s="517"/>
      <c r="C5" s="517"/>
      <c r="D5" s="316" t="s">
        <v>130</v>
      </c>
      <c r="E5" s="317" t="s">
        <v>131</v>
      </c>
      <c r="F5" s="316" t="s">
        <v>130</v>
      </c>
      <c r="G5" s="317" t="s">
        <v>131</v>
      </c>
      <c r="H5" s="316" t="s">
        <v>130</v>
      </c>
      <c r="I5" s="317" t="s">
        <v>131</v>
      </c>
      <c r="J5" s="318" t="s">
        <v>215</v>
      </c>
      <c r="K5" s="316" t="s">
        <v>130</v>
      </c>
      <c r="L5" s="319" t="s">
        <v>131</v>
      </c>
      <c r="M5" s="313"/>
      <c r="N5" s="314"/>
      <c r="O5" s="313"/>
      <c r="P5" s="315"/>
    </row>
    <row r="6" spans="1:16" ht="36.75" hidden="1" customHeight="1">
      <c r="A6" s="320">
        <v>2</v>
      </c>
      <c r="B6" s="321" t="s">
        <v>0</v>
      </c>
      <c r="C6" s="322" t="e">
        <f>#REF!-E6</f>
        <v>#REF!</v>
      </c>
      <c r="D6" s="323">
        <v>1985289767</v>
      </c>
      <c r="E6" s="324">
        <v>1985289767</v>
      </c>
      <c r="F6" s="325"/>
      <c r="G6" s="326"/>
      <c r="H6" s="327"/>
      <c r="I6" s="328"/>
      <c r="J6" s="329"/>
      <c r="K6" s="330"/>
      <c r="L6" s="331"/>
      <c r="M6" s="332"/>
    </row>
    <row r="7" spans="1:16" ht="29.25" customHeight="1" thickTop="1">
      <c r="A7" s="333">
        <v>1</v>
      </c>
      <c r="B7" s="334" t="s">
        <v>3020</v>
      </c>
      <c r="C7" s="335">
        <f>246650000*1.52035</f>
        <v>374994327.5</v>
      </c>
      <c r="D7" s="336"/>
      <c r="E7" s="337"/>
      <c r="F7" s="336">
        <f t="shared" ref="F7" si="0">H7-D7</f>
        <v>0</v>
      </c>
      <c r="G7" s="337">
        <f t="shared" ref="G7" si="1">I7-E7</f>
        <v>0</v>
      </c>
      <c r="H7" s="336"/>
      <c r="I7" s="338"/>
      <c r="J7" s="339">
        <f>1.1695*1.3</f>
        <v>1.5203500000000001</v>
      </c>
      <c r="K7" s="336">
        <f t="shared" ref="K7" si="2">H7*J7</f>
        <v>0</v>
      </c>
      <c r="L7" s="340">
        <f t="shared" ref="L7" si="3">I7*J7</f>
        <v>0</v>
      </c>
      <c r="M7" s="332" t="e">
        <f t="shared" ref="M7" si="4">O7-N7</f>
        <v>#REF!</v>
      </c>
      <c r="N7" s="310" t="e">
        <f>#REF!*J7</f>
        <v>#REF!</v>
      </c>
      <c r="O7" s="309">
        <f t="shared" ref="O7" si="5">L7</f>
        <v>0</v>
      </c>
      <c r="P7" s="341">
        <f t="shared" ref="P7" si="6">E7*J7</f>
        <v>0</v>
      </c>
    </row>
    <row r="8" spans="1:16" ht="29.25" customHeight="1">
      <c r="A8" s="333">
        <v>3</v>
      </c>
      <c r="B8" s="392" t="s">
        <v>1829</v>
      </c>
      <c r="C8" s="335">
        <f>293700000*1.52035</f>
        <v>446526795</v>
      </c>
      <c r="D8" s="336">
        <v>134590000</v>
      </c>
      <c r="E8" s="337"/>
      <c r="F8" s="336">
        <f t="shared" ref="F8:G19" si="7">H8-D8</f>
        <v>83662000</v>
      </c>
      <c r="G8" s="337">
        <f t="shared" si="7"/>
        <v>0</v>
      </c>
      <c r="H8" s="336">
        <f>'فصول مکانیکی'!G15</f>
        <v>218252000</v>
      </c>
      <c r="I8" s="338"/>
      <c r="J8" s="339">
        <f>1.1695*1.3</f>
        <v>1.5203500000000001</v>
      </c>
      <c r="K8" s="336">
        <f t="shared" ref="K8:K19" si="8">H8*J8</f>
        <v>331819428.20000005</v>
      </c>
      <c r="L8" s="340">
        <f t="shared" ref="L8:L19" si="9">I8*J8</f>
        <v>0</v>
      </c>
      <c r="M8" s="332" t="e">
        <f t="shared" ref="M8:M19" si="10">O8-N8</f>
        <v>#REF!</v>
      </c>
      <c r="N8" s="310" t="e">
        <f>#REF!*J8</f>
        <v>#REF!</v>
      </c>
      <c r="O8" s="309">
        <f t="shared" ref="O8:O19" si="11">L8</f>
        <v>0</v>
      </c>
      <c r="P8" s="341">
        <f t="shared" ref="P8:P19" si="12">E8*J8</f>
        <v>0</v>
      </c>
    </row>
    <row r="9" spans="1:16" ht="29.25" customHeight="1">
      <c r="A9" s="333">
        <v>4</v>
      </c>
      <c r="B9" s="334" t="s">
        <v>1830</v>
      </c>
      <c r="C9" s="335">
        <f>738845000*1.52035</f>
        <v>1123302995.75</v>
      </c>
      <c r="D9" s="336"/>
      <c r="E9" s="337"/>
      <c r="F9" s="336">
        <f t="shared" si="7"/>
        <v>245650000</v>
      </c>
      <c r="G9" s="337">
        <f t="shared" si="7"/>
        <v>0</v>
      </c>
      <c r="H9" s="336">
        <f>'فصول مکانیکی'!G22</f>
        <v>245650000</v>
      </c>
      <c r="I9" s="338"/>
      <c r="J9" s="339">
        <f t="shared" ref="J9:J18" si="13">1.1695*1.3</f>
        <v>1.5203500000000001</v>
      </c>
      <c r="K9" s="336">
        <f t="shared" si="8"/>
        <v>373473977.5</v>
      </c>
      <c r="L9" s="340">
        <f t="shared" si="9"/>
        <v>0</v>
      </c>
      <c r="M9" s="332" t="e">
        <f t="shared" si="10"/>
        <v>#REF!</v>
      </c>
      <c r="N9" s="310" t="e">
        <f>#REF!*J9</f>
        <v>#REF!</v>
      </c>
      <c r="O9" s="309">
        <f t="shared" si="11"/>
        <v>0</v>
      </c>
      <c r="P9" s="341">
        <f t="shared" si="12"/>
        <v>0</v>
      </c>
    </row>
    <row r="10" spans="1:16" ht="29.25" customHeight="1">
      <c r="A10" s="333">
        <v>7</v>
      </c>
      <c r="B10" s="334" t="s">
        <v>1831</v>
      </c>
      <c r="C10" s="335">
        <f>156288000*1.52035</f>
        <v>237612460.80000001</v>
      </c>
      <c r="D10" s="336"/>
      <c r="E10" s="337"/>
      <c r="F10" s="336">
        <f t="shared" si="7"/>
        <v>0</v>
      </c>
      <c r="G10" s="337">
        <f t="shared" si="7"/>
        <v>0</v>
      </c>
      <c r="H10" s="336"/>
      <c r="I10" s="338"/>
      <c r="J10" s="339">
        <f t="shared" si="13"/>
        <v>1.5203500000000001</v>
      </c>
      <c r="K10" s="336">
        <f t="shared" si="8"/>
        <v>0</v>
      </c>
      <c r="L10" s="340">
        <f t="shared" si="9"/>
        <v>0</v>
      </c>
      <c r="M10" s="332" t="e">
        <f t="shared" si="10"/>
        <v>#REF!</v>
      </c>
      <c r="N10" s="310" t="e">
        <f>#REF!*J10</f>
        <v>#REF!</v>
      </c>
      <c r="O10" s="309">
        <f t="shared" si="11"/>
        <v>0</v>
      </c>
      <c r="P10" s="341">
        <f t="shared" si="12"/>
        <v>0</v>
      </c>
    </row>
    <row r="11" spans="1:16" ht="29.25" customHeight="1">
      <c r="A11" s="333">
        <v>17</v>
      </c>
      <c r="B11" s="334" t="s">
        <v>1832</v>
      </c>
      <c r="C11" s="335">
        <f>513000000*1.52035</f>
        <v>779939550</v>
      </c>
      <c r="D11" s="336"/>
      <c r="E11" s="337"/>
      <c r="F11" s="336">
        <f t="shared" si="7"/>
        <v>0</v>
      </c>
      <c r="G11" s="337">
        <f t="shared" si="7"/>
        <v>0</v>
      </c>
      <c r="H11" s="336"/>
      <c r="I11" s="338"/>
      <c r="J11" s="339">
        <f t="shared" si="13"/>
        <v>1.5203500000000001</v>
      </c>
      <c r="K11" s="336">
        <f t="shared" si="8"/>
        <v>0</v>
      </c>
      <c r="L11" s="340">
        <f t="shared" si="9"/>
        <v>0</v>
      </c>
      <c r="M11" s="332" t="e">
        <f t="shared" si="10"/>
        <v>#REF!</v>
      </c>
      <c r="N11" s="310" t="e">
        <f>#REF!*J11</f>
        <v>#REF!</v>
      </c>
      <c r="O11" s="309">
        <f t="shared" si="11"/>
        <v>0</v>
      </c>
      <c r="P11" s="341">
        <f t="shared" si="12"/>
        <v>0</v>
      </c>
    </row>
    <row r="12" spans="1:16" ht="29.25" customHeight="1">
      <c r="A12" s="333">
        <v>19</v>
      </c>
      <c r="B12" s="392" t="s">
        <v>1833</v>
      </c>
      <c r="C12" s="335">
        <f>344690000*1.52035</f>
        <v>524049441.50000006</v>
      </c>
      <c r="D12" s="336"/>
      <c r="E12" s="337"/>
      <c r="F12" s="336">
        <f t="shared" si="7"/>
        <v>343600000</v>
      </c>
      <c r="G12" s="337">
        <f t="shared" si="7"/>
        <v>0</v>
      </c>
      <c r="H12" s="336">
        <f>'فصول مکانیکی'!G25</f>
        <v>343600000</v>
      </c>
      <c r="I12" s="338"/>
      <c r="J12" s="339">
        <f t="shared" si="13"/>
        <v>1.5203500000000001</v>
      </c>
      <c r="K12" s="336">
        <f t="shared" si="8"/>
        <v>522392260.00000006</v>
      </c>
      <c r="L12" s="340">
        <f t="shared" si="9"/>
        <v>0</v>
      </c>
      <c r="M12" s="332" t="e">
        <f t="shared" si="10"/>
        <v>#REF!</v>
      </c>
      <c r="N12" s="310" t="e">
        <f>#REF!*J12</f>
        <v>#REF!</v>
      </c>
      <c r="O12" s="309">
        <f t="shared" si="11"/>
        <v>0</v>
      </c>
      <c r="P12" s="341">
        <f t="shared" si="12"/>
        <v>0</v>
      </c>
    </row>
    <row r="13" spans="1:16" ht="29.25" customHeight="1">
      <c r="A13" s="333">
        <v>20</v>
      </c>
      <c r="B13" s="334" t="s">
        <v>3021</v>
      </c>
      <c r="C13" s="335">
        <f>26790000*1.52035</f>
        <v>40730176.5</v>
      </c>
      <c r="D13" s="336"/>
      <c r="E13" s="337"/>
      <c r="F13" s="336">
        <f t="shared" ref="F13" si="14">H13-D13</f>
        <v>0</v>
      </c>
      <c r="G13" s="337">
        <f t="shared" ref="G13" si="15">I13-E13</f>
        <v>0</v>
      </c>
      <c r="H13" s="336"/>
      <c r="I13" s="338"/>
      <c r="J13" s="339">
        <f t="shared" si="13"/>
        <v>1.5203500000000001</v>
      </c>
      <c r="K13" s="336">
        <f t="shared" ref="K13" si="16">H13*J13</f>
        <v>0</v>
      </c>
      <c r="L13" s="340">
        <f t="shared" ref="L13" si="17">I13*J13</f>
        <v>0</v>
      </c>
      <c r="M13" s="332" t="e">
        <f t="shared" ref="M13" si="18">O13-N13</f>
        <v>#REF!</v>
      </c>
      <c r="N13" s="310" t="e">
        <f>#REF!*J13</f>
        <v>#REF!</v>
      </c>
      <c r="O13" s="309">
        <f t="shared" ref="O13" si="19">L13</f>
        <v>0</v>
      </c>
      <c r="P13" s="341">
        <f t="shared" ref="P13" si="20">E13*J13</f>
        <v>0</v>
      </c>
    </row>
    <row r="14" spans="1:16" ht="29.25" customHeight="1">
      <c r="A14" s="333">
        <v>22</v>
      </c>
      <c r="B14" s="334" t="s">
        <v>3022</v>
      </c>
      <c r="C14" s="335">
        <f>182200000*1.52035</f>
        <v>277007770</v>
      </c>
      <c r="D14" s="336"/>
      <c r="E14" s="337"/>
      <c r="F14" s="336">
        <f t="shared" si="7"/>
        <v>0</v>
      </c>
      <c r="G14" s="337">
        <f t="shared" si="7"/>
        <v>0</v>
      </c>
      <c r="H14" s="336"/>
      <c r="I14" s="338"/>
      <c r="J14" s="339">
        <f t="shared" si="13"/>
        <v>1.5203500000000001</v>
      </c>
      <c r="K14" s="336">
        <f t="shared" si="8"/>
        <v>0</v>
      </c>
      <c r="L14" s="340">
        <f t="shared" si="9"/>
        <v>0</v>
      </c>
      <c r="M14" s="332" t="e">
        <f t="shared" si="10"/>
        <v>#REF!</v>
      </c>
      <c r="N14" s="310" t="e">
        <f>#REF!*J14</f>
        <v>#REF!</v>
      </c>
      <c r="O14" s="309">
        <f t="shared" si="11"/>
        <v>0</v>
      </c>
      <c r="P14" s="341">
        <f t="shared" si="12"/>
        <v>0</v>
      </c>
    </row>
    <row r="15" spans="1:16" ht="29.25" customHeight="1">
      <c r="A15" s="333">
        <v>29</v>
      </c>
      <c r="B15" s="392" t="s">
        <v>1834</v>
      </c>
      <c r="C15" s="335">
        <f>235235000*1.52035</f>
        <v>357639532.25</v>
      </c>
      <c r="D15" s="336"/>
      <c r="E15" s="337"/>
      <c r="F15" s="336">
        <f t="shared" si="7"/>
        <v>0</v>
      </c>
      <c r="G15" s="337">
        <f t="shared" si="7"/>
        <v>0</v>
      </c>
      <c r="H15" s="336"/>
      <c r="I15" s="338"/>
      <c r="J15" s="339">
        <f t="shared" si="13"/>
        <v>1.5203500000000001</v>
      </c>
      <c r="K15" s="336">
        <f t="shared" si="8"/>
        <v>0</v>
      </c>
      <c r="L15" s="340">
        <f t="shared" si="9"/>
        <v>0</v>
      </c>
      <c r="M15" s="332" t="e">
        <f t="shared" si="10"/>
        <v>#REF!</v>
      </c>
      <c r="N15" s="310" t="e">
        <f>#REF!*J15</f>
        <v>#REF!</v>
      </c>
      <c r="O15" s="309">
        <f t="shared" si="11"/>
        <v>0</v>
      </c>
      <c r="P15" s="341">
        <f t="shared" si="12"/>
        <v>0</v>
      </c>
    </row>
    <row r="16" spans="1:16" ht="29.25" customHeight="1">
      <c r="A16" s="333">
        <v>30</v>
      </c>
      <c r="B16" s="334" t="s">
        <v>3023</v>
      </c>
      <c r="C16" s="335">
        <f>89056000*1.52035</f>
        <v>135396289.59999999</v>
      </c>
      <c r="D16" s="336"/>
      <c r="E16" s="337"/>
      <c r="F16" s="336">
        <f t="shared" ref="F16" si="21">H16-D16</f>
        <v>0</v>
      </c>
      <c r="G16" s="337">
        <f t="shared" ref="G16" si="22">I16-E16</f>
        <v>0</v>
      </c>
      <c r="H16" s="336"/>
      <c r="I16" s="338"/>
      <c r="J16" s="339">
        <f t="shared" si="13"/>
        <v>1.5203500000000001</v>
      </c>
      <c r="K16" s="336">
        <f t="shared" ref="K16" si="23">H16*J16</f>
        <v>0</v>
      </c>
      <c r="L16" s="340">
        <f t="shared" ref="L16" si="24">I16*J16</f>
        <v>0</v>
      </c>
      <c r="M16" s="332" t="e">
        <f t="shared" ref="M16" si="25">O16-N16</f>
        <v>#REF!</v>
      </c>
      <c r="N16" s="310" t="e">
        <f>#REF!*J16</f>
        <v>#REF!</v>
      </c>
      <c r="O16" s="309">
        <f t="shared" ref="O16" si="26">L16</f>
        <v>0</v>
      </c>
      <c r="P16" s="341">
        <f t="shared" ref="P16" si="27">E16*J16</f>
        <v>0</v>
      </c>
    </row>
    <row r="17" spans="1:16" ht="29.25" customHeight="1">
      <c r="A17" s="333">
        <v>31</v>
      </c>
      <c r="B17" s="334" t="s">
        <v>3024</v>
      </c>
      <c r="C17" s="335">
        <f>252100000*1.52035</f>
        <v>383280235</v>
      </c>
      <c r="D17" s="336"/>
      <c r="E17" s="337"/>
      <c r="F17" s="336">
        <f t="shared" ref="F17" si="28">H17-D17</f>
        <v>0</v>
      </c>
      <c r="G17" s="337">
        <f t="shared" ref="G17" si="29">I17-E17</f>
        <v>0</v>
      </c>
      <c r="H17" s="336"/>
      <c r="I17" s="338"/>
      <c r="J17" s="339">
        <f t="shared" si="13"/>
        <v>1.5203500000000001</v>
      </c>
      <c r="K17" s="336">
        <f t="shared" ref="K17" si="30">H17*J17</f>
        <v>0</v>
      </c>
      <c r="L17" s="340">
        <f t="shared" ref="L17" si="31">I17*J17</f>
        <v>0</v>
      </c>
      <c r="M17" s="332" t="e">
        <f t="shared" ref="M17" si="32">O17-N17</f>
        <v>#REF!</v>
      </c>
      <c r="N17" s="310" t="e">
        <f>#REF!*J17</f>
        <v>#REF!</v>
      </c>
      <c r="O17" s="309">
        <f t="shared" ref="O17" si="33">L17</f>
        <v>0</v>
      </c>
      <c r="P17" s="341">
        <f t="shared" ref="P17" si="34">E17*J17</f>
        <v>0</v>
      </c>
    </row>
    <row r="18" spans="1:16" ht="29.25" customHeight="1">
      <c r="A18" s="333">
        <v>34</v>
      </c>
      <c r="B18" s="334" t="s">
        <v>1835</v>
      </c>
      <c r="C18" s="335">
        <f>11575000*1.52035</f>
        <v>17598051.25</v>
      </c>
      <c r="D18" s="336"/>
      <c r="E18" s="337"/>
      <c r="F18" s="336">
        <f t="shared" si="7"/>
        <v>0</v>
      </c>
      <c r="G18" s="337">
        <f t="shared" si="7"/>
        <v>0</v>
      </c>
      <c r="H18" s="336"/>
      <c r="I18" s="338"/>
      <c r="J18" s="339">
        <f t="shared" si="13"/>
        <v>1.5203500000000001</v>
      </c>
      <c r="K18" s="336">
        <f t="shared" si="8"/>
        <v>0</v>
      </c>
      <c r="L18" s="340">
        <f t="shared" si="9"/>
        <v>0</v>
      </c>
      <c r="M18" s="332" t="e">
        <f t="shared" si="10"/>
        <v>#REF!</v>
      </c>
      <c r="N18" s="310" t="e">
        <f>#REF!*J18</f>
        <v>#REF!</v>
      </c>
      <c r="O18" s="309">
        <f t="shared" si="11"/>
        <v>0</v>
      </c>
      <c r="P18" s="341">
        <f t="shared" si="12"/>
        <v>0</v>
      </c>
    </row>
    <row r="19" spans="1:16" s="311" customFormat="1" ht="29.25" customHeight="1" thickBot="1">
      <c r="A19" s="342">
        <v>36</v>
      </c>
      <c r="B19" s="343" t="s">
        <v>157</v>
      </c>
      <c r="C19" s="344"/>
      <c r="D19" s="345">
        <v>24540000</v>
      </c>
      <c r="E19" s="346">
        <v>0</v>
      </c>
      <c r="F19" s="345">
        <f t="shared" si="7"/>
        <v>24540000</v>
      </c>
      <c r="G19" s="347">
        <f t="shared" si="7"/>
        <v>0</v>
      </c>
      <c r="H19" s="345">
        <f>'فصول مکانیکی'!G28</f>
        <v>49080000</v>
      </c>
      <c r="I19" s="348"/>
      <c r="J19" s="349">
        <f>1.1695*1.3*0.7</f>
        <v>1.0642449999999999</v>
      </c>
      <c r="K19" s="345">
        <f t="shared" si="8"/>
        <v>52233144.599999994</v>
      </c>
      <c r="L19" s="350">
        <f t="shared" si="9"/>
        <v>0</v>
      </c>
      <c r="M19" s="351">
        <f t="shared" si="10"/>
        <v>0</v>
      </c>
      <c r="N19" s="352">
        <f t="shared" ref="N19" si="35">G19*J19</f>
        <v>0</v>
      </c>
      <c r="O19" s="309">
        <f t="shared" si="11"/>
        <v>0</v>
      </c>
      <c r="P19" s="341">
        <f t="shared" si="12"/>
        <v>0</v>
      </c>
    </row>
    <row r="20" spans="1:16" s="311" customFormat="1" ht="29.25" customHeight="1" thickTop="1" thickBot="1">
      <c r="A20" s="661" t="s">
        <v>56</v>
      </c>
      <c r="B20" s="661"/>
      <c r="C20" s="353">
        <f>SUM(C8:C19)</f>
        <v>4323083297.6499996</v>
      </c>
      <c r="D20" s="354">
        <f>SUM(D8:D8)</f>
        <v>134590000</v>
      </c>
      <c r="E20" s="355"/>
      <c r="F20" s="356">
        <f>SUM(F8:F19)</f>
        <v>697452000</v>
      </c>
      <c r="G20" s="355"/>
      <c r="H20" s="354">
        <f>SUM(H8:H19)</f>
        <v>856582000</v>
      </c>
      <c r="I20" s="355"/>
      <c r="J20" s="357"/>
      <c r="K20" s="358">
        <f>SUM(K7:K19)</f>
        <v>1279918810.3</v>
      </c>
      <c r="L20" s="359"/>
      <c r="M20" s="662"/>
      <c r="N20" s="663"/>
      <c r="O20" s="309"/>
    </row>
    <row r="21" spans="1:16" s="311" customFormat="1" ht="20.100000000000001" customHeight="1" thickTop="1">
      <c r="A21" s="312"/>
      <c r="B21" s="312"/>
      <c r="C21" s="312"/>
      <c r="D21" s="360"/>
      <c r="E21" s="361"/>
      <c r="F21" s="360"/>
      <c r="G21" s="361"/>
      <c r="H21" s="360"/>
      <c r="I21" s="361"/>
      <c r="J21" s="312"/>
      <c r="K21" s="360"/>
      <c r="L21" s="361"/>
      <c r="M21" s="309"/>
      <c r="N21" s="310"/>
      <c r="O21" s="309"/>
    </row>
    <row r="25" spans="1:16" s="311" customFormat="1" ht="20.100000000000001" customHeight="1">
      <c r="A25" s="312"/>
      <c r="B25" s="312"/>
      <c r="C25" s="312"/>
      <c r="D25" s="360"/>
      <c r="E25" s="361"/>
      <c r="F25" s="360"/>
      <c r="G25" s="361"/>
      <c r="H25" s="360"/>
      <c r="I25" s="361"/>
      <c r="J25" s="362"/>
      <c r="K25" s="360"/>
      <c r="L25" s="361"/>
      <c r="M25" s="309"/>
      <c r="N25" s="310"/>
      <c r="O25" s="309"/>
    </row>
    <row r="39" spans="1:17" s="360" customFormat="1" ht="20.100000000000001" customHeight="1">
      <c r="A39" s="312"/>
      <c r="B39" s="312"/>
      <c r="C39" s="312"/>
      <c r="E39" s="361"/>
      <c r="G39" s="361"/>
      <c r="H39" s="363"/>
      <c r="I39" s="361"/>
      <c r="J39" s="363"/>
      <c r="L39" s="361"/>
      <c r="M39" s="309"/>
      <c r="N39" s="310"/>
      <c r="O39" s="309"/>
      <c r="P39" s="311"/>
      <c r="Q39" s="311"/>
    </row>
    <row r="43" spans="1:17" s="360" customFormat="1" ht="20.100000000000001" customHeight="1">
      <c r="A43" s="312"/>
      <c r="B43" s="312"/>
      <c r="C43" s="312"/>
      <c r="E43" s="361"/>
      <c r="G43" s="361"/>
      <c r="H43" s="363"/>
      <c r="I43" s="361"/>
      <c r="J43" s="363"/>
      <c r="L43" s="361"/>
      <c r="M43" s="309"/>
      <c r="N43" s="310"/>
      <c r="O43" s="309"/>
      <c r="P43" s="311"/>
      <c r="Q43" s="311"/>
    </row>
    <row r="51" spans="1:17" s="360" customFormat="1" ht="20.100000000000001" customHeight="1">
      <c r="A51" s="312"/>
      <c r="B51" s="312"/>
      <c r="C51" s="312"/>
      <c r="E51" s="361"/>
      <c r="G51" s="361"/>
      <c r="H51" s="362"/>
      <c r="I51" s="361"/>
      <c r="J51" s="312"/>
      <c r="L51" s="361"/>
      <c r="M51" s="309"/>
      <c r="N51" s="310"/>
      <c r="O51" s="309"/>
      <c r="P51" s="311"/>
      <c r="Q51" s="311"/>
    </row>
    <row r="52" spans="1:17" s="360" customFormat="1" ht="20.100000000000001" customHeight="1">
      <c r="A52" s="312"/>
      <c r="B52" s="312"/>
      <c r="C52" s="312"/>
      <c r="E52" s="361"/>
      <c r="G52" s="361"/>
      <c r="H52" s="362"/>
      <c r="I52" s="361"/>
      <c r="J52" s="362"/>
      <c r="L52" s="361"/>
      <c r="M52" s="309"/>
      <c r="N52" s="310"/>
      <c r="O52" s="309"/>
      <c r="P52" s="311"/>
      <c r="Q52" s="311"/>
    </row>
    <row r="68" spans="1:17" s="361" customFormat="1" ht="20.100000000000001" customHeight="1">
      <c r="A68" s="312"/>
      <c r="B68" s="312"/>
      <c r="C68" s="312"/>
      <c r="D68" s="360"/>
      <c r="F68" s="360"/>
      <c r="H68" s="362"/>
      <c r="J68" s="312"/>
      <c r="K68" s="360"/>
      <c r="M68" s="309"/>
      <c r="N68" s="310"/>
      <c r="O68" s="309"/>
      <c r="P68" s="311"/>
      <c r="Q68" s="311"/>
    </row>
    <row r="79" spans="1:17" s="361" customFormat="1" ht="20.100000000000001" customHeight="1">
      <c r="A79" s="312"/>
      <c r="B79" s="312"/>
      <c r="C79" s="312"/>
      <c r="D79" s="360"/>
      <c r="F79" s="360"/>
      <c r="H79" s="362"/>
      <c r="J79" s="312"/>
      <c r="K79" s="360"/>
      <c r="M79" s="309"/>
      <c r="N79" s="310"/>
      <c r="O79" s="309"/>
      <c r="P79" s="311"/>
      <c r="Q79" s="311"/>
    </row>
    <row r="80" spans="1:17" s="361" customFormat="1" ht="20.100000000000001" customHeight="1">
      <c r="A80" s="312"/>
      <c r="B80" s="312"/>
      <c r="C80" s="312"/>
      <c r="D80" s="360"/>
      <c r="F80" s="360"/>
      <c r="H80" s="362"/>
      <c r="J80" s="312"/>
      <c r="K80" s="360"/>
      <c r="M80" s="309"/>
      <c r="N80" s="310"/>
      <c r="O80" s="309"/>
      <c r="P80" s="311"/>
      <c r="Q80" s="311"/>
    </row>
  </sheetData>
  <mergeCells count="16">
    <mergeCell ref="K4:L4"/>
    <mergeCell ref="A20:B20"/>
    <mergeCell ref="M20:N20"/>
    <mergeCell ref="A4:A5"/>
    <mergeCell ref="B4:B5"/>
    <mergeCell ref="C4:C5"/>
    <mergeCell ref="D4:E4"/>
    <mergeCell ref="F4:G4"/>
    <mergeCell ref="H4:I4"/>
    <mergeCell ref="A1:D1"/>
    <mergeCell ref="E1:I2"/>
    <mergeCell ref="A2:D2"/>
    <mergeCell ref="J2:L2"/>
    <mergeCell ref="C3:I3"/>
    <mergeCell ref="J3:L3"/>
    <mergeCell ref="A3:B3"/>
  </mergeCells>
  <printOptions horizontalCentered="1"/>
  <pageMargins left="0" right="0" top="0.19685039370078741" bottom="0.39370078740157483" header="0" footer="0"/>
  <pageSetup paperSize="9" orientation="landscape" r:id="rId1"/>
  <headerFooter alignWithMargins="0">
    <oddHeader>&amp;L&amp;"B Nazanin,Regular"&amp;P</oddHeader>
    <oddFooter>&amp;L&amp;"B Lotus,Regular"&amp;12  نماینده کارفرما                       &amp;"Arial,Regular"&amp;10          &amp;C&amp;"B Lotus,Regular"&amp;12 نظارت &amp;"B Nazanin,Regular"                                                     &amp;R                   &amp;"B Lotus,Regular"&amp;12  پیمانکار</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8"/>
  <sheetViews>
    <sheetView rightToLeft="1" view="pageBreakPreview" zoomScale="110" zoomScaleSheetLayoutView="110" workbookViewId="0"/>
  </sheetViews>
  <sheetFormatPr defaultColWidth="9.109375" defaultRowHeight="20.100000000000001" customHeight="1"/>
  <cols>
    <col min="1" max="1" width="7.44140625" style="370" customWidth="1"/>
    <col min="2" max="2" width="28.33203125" style="371" customWidth="1"/>
    <col min="3" max="3" width="6.44140625" style="372" customWidth="1"/>
    <col min="4" max="4" width="11.33203125" style="373" customWidth="1"/>
    <col min="5" max="5" width="13.88671875" style="374" customWidth="1"/>
    <col min="6" max="6" width="13.88671875" style="375" customWidth="1"/>
    <col min="7" max="7" width="13.88671875" style="376" customWidth="1"/>
    <col min="8" max="8" width="13.88671875" style="377" customWidth="1"/>
    <col min="9" max="11" width="1" style="364" customWidth="1"/>
    <col min="12" max="16384" width="9.109375" style="364"/>
  </cols>
  <sheetData>
    <row r="1" spans="1:8" ht="20.100000000000001" customHeight="1">
      <c r="A1" s="796" t="str">
        <f>[1]اطلاعات!B15</f>
        <v>کارفرما :شهرداری اصفهان سازمان میادین  میوه و تره بار و ساماندهی مشاغل شهری</v>
      </c>
      <c r="B1" s="796"/>
      <c r="C1" s="796"/>
      <c r="D1" s="796"/>
      <c r="E1" s="797" t="str">
        <f>اطلاعات!B16</f>
        <v xml:space="preserve"> قرارداد شماره :  1232579/ر/1399</v>
      </c>
      <c r="F1" s="797"/>
      <c r="G1" s="797"/>
      <c r="H1" s="797"/>
    </row>
    <row r="2" spans="1:8" ht="20.100000000000001" customHeight="1">
      <c r="A2" s="765" t="str">
        <f>اطلاعات!B18</f>
        <v>پیمانکار :  مهندسین پیمانکار ....</v>
      </c>
      <c r="B2" s="765"/>
      <c r="C2" s="798" t="str">
        <f>اطلاعات!B14</f>
        <v>موضوع قرارداد : ساختمان اداره کل نوسازی مدارس...</v>
      </c>
      <c r="D2" s="798"/>
      <c r="E2" s="798"/>
      <c r="F2" s="798"/>
      <c r="G2" s="798"/>
      <c r="H2" s="798"/>
    </row>
    <row r="3" spans="1:8" ht="20.100000000000001" customHeight="1">
      <c r="A3" s="766" t="str">
        <f>اطلاعات!$B$23</f>
        <v xml:space="preserve">فهرست بهای پیمان : </v>
      </c>
      <c r="B3" s="766"/>
      <c r="C3" s="799" t="s">
        <v>121</v>
      </c>
      <c r="D3" s="799"/>
      <c r="E3" s="800" t="str">
        <f>اطلاعات!B5</f>
        <v>صورت وضعيت موقت شماره10</v>
      </c>
      <c r="F3" s="800"/>
      <c r="G3" s="800"/>
      <c r="H3" s="800"/>
    </row>
    <row r="4" spans="1:8" ht="20.100000000000001" customHeight="1">
      <c r="A4" s="766"/>
      <c r="B4" s="766"/>
      <c r="C4" s="799"/>
      <c r="D4" s="799"/>
      <c r="E4" s="800" t="str">
        <f>اطلاعات!B7</f>
        <v>دوره كاركرد از: 1399/06/19</v>
      </c>
      <c r="F4" s="800"/>
      <c r="G4" s="800"/>
      <c r="H4" s="800"/>
    </row>
    <row r="5" spans="1:8" ht="19.5" customHeight="1">
      <c r="A5" s="766"/>
      <c r="B5" s="766"/>
      <c r="C5" s="799"/>
      <c r="D5" s="799"/>
      <c r="E5" s="800" t="str">
        <f>اطلاعات!B8</f>
        <v>لغايت : 1399/07/19</v>
      </c>
      <c r="F5" s="800"/>
      <c r="G5" s="800"/>
      <c r="H5" s="800"/>
    </row>
    <row r="6" spans="1:8" ht="19.5" customHeight="1">
      <c r="A6" s="670" t="s">
        <v>13</v>
      </c>
      <c r="B6" s="673" t="s">
        <v>14</v>
      </c>
      <c r="C6" s="670" t="s">
        <v>16</v>
      </c>
      <c r="D6" s="676" t="s">
        <v>12</v>
      </c>
      <c r="E6" s="365"/>
      <c r="F6" s="679" t="s">
        <v>1836</v>
      </c>
      <c r="G6" s="680"/>
      <c r="H6" s="681"/>
    </row>
    <row r="7" spans="1:8" ht="19.5" customHeight="1">
      <c r="A7" s="671"/>
      <c r="B7" s="674"/>
      <c r="C7" s="671"/>
      <c r="D7" s="677"/>
      <c r="E7" s="682" t="s">
        <v>1837</v>
      </c>
      <c r="F7" s="683"/>
      <c r="G7" s="682" t="s">
        <v>32</v>
      </c>
      <c r="H7" s="683"/>
    </row>
    <row r="8" spans="1:8" ht="19.5" customHeight="1">
      <c r="A8" s="672"/>
      <c r="B8" s="675"/>
      <c r="C8" s="672"/>
      <c r="D8" s="678"/>
      <c r="E8" s="366" t="s">
        <v>130</v>
      </c>
      <c r="F8" s="367" t="s">
        <v>131</v>
      </c>
      <c r="G8" s="366" t="s">
        <v>130</v>
      </c>
      <c r="H8" s="367" t="s">
        <v>131</v>
      </c>
    </row>
    <row r="9" spans="1:8" ht="24" customHeight="1">
      <c r="A9" s="664" t="str">
        <f>'ریزمتره مکانیکی'!A8:I8</f>
        <v>ﻓﺼﻞ ﺳﻮم .ﻟﻮﻟﻪ ﻫﺎي  ﭘﻲ وي ﺳﻲ و ﭘﻠﻲﭘﺮوﭘﻴﻠﻦ .</v>
      </c>
      <c r="B9" s="665"/>
      <c r="C9" s="665"/>
      <c r="D9" s="665"/>
      <c r="E9" s="665"/>
      <c r="F9" s="665"/>
      <c r="G9" s="665"/>
      <c r="H9" s="666"/>
    </row>
    <row r="10" spans="1:8" s="1" customFormat="1" ht="39.9" customHeight="1">
      <c r="A10" s="171" t="str">
        <f>'خلاصه مکانیکی'!A7</f>
        <v>030303</v>
      </c>
      <c r="B10" s="65" t="str">
        <f>IF(A10="","",VLOOKUP(A10,'مکانیکی 95'!$A:$E,2,FALSE))</f>
        <v>لوله پي.وي.سي سخـت، به قطر خارجي 63 ميليمتر و فشار كار 6 بار.</v>
      </c>
      <c r="C10" s="75" t="str">
        <f>IF(A10="","",VLOOKUP(A10,'مکانیکی 95'!$A:$E,3,FALSE))</f>
        <v>مترطول</v>
      </c>
      <c r="D10" s="68">
        <f>IF(A10="","",VLOOKUP(A10,'مکانیکی 95'!$A:$E,4,FALSE))</f>
        <v>64700</v>
      </c>
      <c r="E10" s="393">
        <f>'خلاصه مکانیکی'!F7</f>
        <v>450</v>
      </c>
      <c r="F10" s="67"/>
      <c r="G10" s="70">
        <f>ROUND(E10*D10,0)</f>
        <v>29115000</v>
      </c>
      <c r="H10" s="51">
        <f>ROUND(F10*D10,0)</f>
        <v>0</v>
      </c>
    </row>
    <row r="11" spans="1:8" s="1" customFormat="1" ht="39.9" customHeight="1">
      <c r="A11" s="171" t="str">
        <f>'خلاصه مکانیکی'!A9</f>
        <v>030305</v>
      </c>
      <c r="B11" s="65" t="str">
        <f>IF(A11="","",VLOOKUP(A11,'مکانیکی 95'!$A:$E,2,FALSE))</f>
        <v>لوله پي.وي.سي سخـت، به قطر خارجي 90 ميليمتر و فشار كار 6 بار.</v>
      </c>
      <c r="C11" s="75" t="str">
        <f>IF(A11="","",VLOOKUP(A11,'مکانیکی 95'!$A:$E,3,FALSE))</f>
        <v>مترطول</v>
      </c>
      <c r="D11" s="68">
        <f>IF(A11="","",VLOOKUP(A11,'مکانیکی 95'!$A:$E,4,FALSE))</f>
        <v>91400</v>
      </c>
      <c r="E11" s="73">
        <f>'خلاصه مکانیکی'!F9</f>
        <v>80</v>
      </c>
      <c r="F11" s="67"/>
      <c r="G11" s="70">
        <f>ROUND(E11*D11,0)</f>
        <v>7312000</v>
      </c>
      <c r="H11" s="51">
        <f>ROUND(F11*D11,0)</f>
        <v>0</v>
      </c>
    </row>
    <row r="12" spans="1:8" s="1" customFormat="1" ht="39.9" customHeight="1">
      <c r="A12" s="171" t="str">
        <f>'خلاصه مکانیکی'!A11</f>
        <v>030306</v>
      </c>
      <c r="B12" s="65" t="str">
        <f>IF(A12="","",VLOOKUP(A12,'مکانیکی 95'!$A:$E,2,FALSE))</f>
        <v>لوله پي.وي.سي سخـت، به قطر خارجي 110 ميليمتر و فشار كار 6 بار.</v>
      </c>
      <c r="C12" s="75" t="str">
        <f>IF(A12="","",VLOOKUP(A12,'مکانیکی 95'!$A:$E,3,FALSE))</f>
        <v>مترطول</v>
      </c>
      <c r="D12" s="68">
        <f>IF(A12="","",VLOOKUP(A12,'مکانیکی 95'!$A:$E,4,FALSE))</f>
        <v>114500</v>
      </c>
      <c r="E12" s="73">
        <f>'خلاصه مکانیکی'!F11</f>
        <v>350</v>
      </c>
      <c r="F12" s="67"/>
      <c r="G12" s="70">
        <f>ROUND(E12*D12,0)</f>
        <v>40075000</v>
      </c>
      <c r="H12" s="51">
        <f>ROUND(F12*D12,0)</f>
        <v>0</v>
      </c>
    </row>
    <row r="13" spans="1:8" s="1" customFormat="1" ht="39.9" customHeight="1">
      <c r="A13" s="171" t="str">
        <f>'خلاصه مکانیکی'!A13</f>
        <v>030502*</v>
      </c>
      <c r="B13" s="65" t="str">
        <f>'ریزمتره مکانیکی'!B21:I21</f>
        <v>لوله پلي‌اتيلن، به قطر نامي 70.</v>
      </c>
      <c r="C13" s="75" t="str">
        <f>IF(A13="","",VLOOKUP(A13,'مکانیکی 95'!$A:$E,3,FALSE))</f>
        <v>مترطول</v>
      </c>
      <c r="D13" s="68">
        <v>315000</v>
      </c>
      <c r="E13" s="73">
        <f>'خلاصه مکانیکی'!F13</f>
        <v>250</v>
      </c>
      <c r="F13" s="67"/>
      <c r="G13" s="70">
        <f>ROUND(E13*D13,0)</f>
        <v>78750000</v>
      </c>
      <c r="H13" s="51">
        <f>ROUND(F13*D13,0)</f>
        <v>0</v>
      </c>
    </row>
    <row r="14" spans="1:8" s="1" customFormat="1" ht="39.9" customHeight="1">
      <c r="A14" s="171" t="str">
        <f>'خلاصه مکانیکی'!A15</f>
        <v>030311</v>
      </c>
      <c r="B14" s="65" t="str">
        <f>IF(A14="","",VLOOKUP(A14,'مکانیکی 95'!$A:$E,2,FALSE))</f>
        <v>لوله پي.وي.سي سخـت، به قطر خارجي 200 ميليمتر و فشار كار 6 بار.</v>
      </c>
      <c r="C14" s="75" t="str">
        <f>IF(A14="","",VLOOKUP(A14,'مکانیکی 95'!$A:$E,3,FALSE))</f>
        <v>مترطول</v>
      </c>
      <c r="D14" s="68">
        <f>IF(A14="","",VLOOKUP(A14,'مکانیکی 95'!$A:$E,4,FALSE))</f>
        <v>315000</v>
      </c>
      <c r="E14" s="73">
        <f>'خلاصه مکانیکی'!F15</f>
        <v>200</v>
      </c>
      <c r="F14" s="67"/>
      <c r="G14" s="70">
        <f>ROUND(E14*D14,0)</f>
        <v>63000000</v>
      </c>
      <c r="H14" s="51">
        <f>ROUND(F14*D14,0)</f>
        <v>0</v>
      </c>
    </row>
    <row r="15" spans="1:8" ht="20.25" customHeight="1">
      <c r="A15" s="667" t="s">
        <v>36</v>
      </c>
      <c r="B15" s="668"/>
      <c r="C15" s="668"/>
      <c r="D15" s="668"/>
      <c r="E15" s="668"/>
      <c r="F15" s="669"/>
      <c r="G15" s="368">
        <f>SUM(G10:G14)</f>
        <v>218252000</v>
      </c>
      <c r="H15" s="369">
        <f>SUM(H10:H10)</f>
        <v>0</v>
      </c>
    </row>
    <row r="16" spans="1:8" ht="24" customHeight="1">
      <c r="A16" s="664" t="str">
        <f>'ریزمتره مکانیکی'!A29:I29</f>
        <v>ﻓﺼﻞ چهارم .ﻟﻮﻟﻪ ﻫﺎي ﭘﻠﻲ اتیلن</v>
      </c>
      <c r="B16" s="665"/>
      <c r="C16" s="665"/>
      <c r="D16" s="665"/>
      <c r="E16" s="665"/>
      <c r="F16" s="665"/>
      <c r="G16" s="665"/>
      <c r="H16" s="666"/>
    </row>
    <row r="17" spans="1:8" s="1" customFormat="1" ht="39.9" customHeight="1">
      <c r="A17" s="171" t="str">
        <f>'خلاصه مکانیکی'!A17</f>
        <v>040201</v>
      </c>
      <c r="B17" s="65" t="str">
        <f>IF(A17="","",VLOOKUP(A17,'مکانیکی 95'!$A:$E,2,FALSE))</f>
        <v>لوله پلي‌اتيلن مشبك پنج لايه به قطر خارجي 16 ميليمتر.</v>
      </c>
      <c r="C17" s="75" t="str">
        <f>IF(A17="","",VLOOKUP(A17,'مکانیکی 95'!$A:$E,3,FALSE))</f>
        <v>مترطول</v>
      </c>
      <c r="D17" s="68">
        <f>IF(A17="","",VLOOKUP(A17,'مکانیکی 95'!$A:$E,4,FALSE))</f>
        <v>81200</v>
      </c>
      <c r="E17" s="393">
        <f>'خلاصه مکانیکی'!F17</f>
        <v>500</v>
      </c>
      <c r="F17" s="67"/>
      <c r="G17" s="70">
        <f>ROUND(E17*D17,0)</f>
        <v>40600000</v>
      </c>
      <c r="H17" s="51">
        <f>ROUND(F17*D17,0)</f>
        <v>0</v>
      </c>
    </row>
    <row r="18" spans="1:8" s="1" customFormat="1" ht="39.9" customHeight="1">
      <c r="A18" s="171" t="str">
        <f>'خلاصه مکانیکی'!A19</f>
        <v>040202</v>
      </c>
      <c r="B18" s="65" t="str">
        <f>IF(A18="","",VLOOKUP(A18,'مکانیکی 95'!$A:$E,2,FALSE))</f>
        <v>لوله پلي‌اتيلن مشبك پنج لايه به قطر خارجي 20 ميليمتر.</v>
      </c>
      <c r="C18" s="75" t="str">
        <f>IF(A18="","",VLOOKUP(A18,'مکانیکی 95'!$A:$E,3,FALSE))</f>
        <v>مترطول</v>
      </c>
      <c r="D18" s="68">
        <f>IF(A18="","",VLOOKUP(A18,'مکانیکی 95'!$A:$E,4,FALSE))</f>
        <v>86400</v>
      </c>
      <c r="E18" s="73">
        <f>'خلاصه مکانیکی'!F19</f>
        <v>750</v>
      </c>
      <c r="F18" s="67"/>
      <c r="G18" s="70">
        <f>ROUND(E18*D18,0)</f>
        <v>64800000</v>
      </c>
      <c r="H18" s="51">
        <f>ROUND(F18*D18,0)</f>
        <v>0</v>
      </c>
    </row>
    <row r="19" spans="1:8" s="1" customFormat="1" ht="39.9" customHeight="1">
      <c r="A19" s="171" t="str">
        <f>'خلاصه مکانیکی'!A21</f>
        <v>040203</v>
      </c>
      <c r="B19" s="65" t="str">
        <f>IF(A19="","",VLOOKUP(A19,'مکانیکی 95'!$A:$E,2,FALSE))</f>
        <v>لوله پلي‌اتيلن مشبك پنج لايه به قطر خارجي 25 ميليمتر.</v>
      </c>
      <c r="C19" s="75" t="str">
        <f>IF(A19="","",VLOOKUP(A19,'مکانیکی 95'!$A:$E,3,FALSE))</f>
        <v>مترطول</v>
      </c>
      <c r="D19" s="68">
        <f>IF(A19="","",VLOOKUP(A19,'مکانیکی 95'!$A:$E,4,FALSE))</f>
        <v>116500</v>
      </c>
      <c r="E19" s="73">
        <f>'خلاصه مکانیکی'!F21</f>
        <v>500</v>
      </c>
      <c r="F19" s="67"/>
      <c r="G19" s="70">
        <f>ROUND(E19*D19,0)</f>
        <v>58250000</v>
      </c>
      <c r="H19" s="51">
        <f>ROUND(F19*D19,0)</f>
        <v>0</v>
      </c>
    </row>
    <row r="20" spans="1:8" s="1" customFormat="1" ht="39.9" customHeight="1">
      <c r="A20" s="171" t="str">
        <f>'خلاصه مکانیکی'!A23</f>
        <v>040204</v>
      </c>
      <c r="B20" s="65" t="str">
        <f>IF(A20="","",VLOOKUP(A20,'مکانیکی 95'!$A:$E,2,FALSE))</f>
        <v>لوله پلي‌اتيلن مشبك پنج لايه به قطر خارجي 32 ميليمتر.</v>
      </c>
      <c r="C20" s="75" t="str">
        <f>IF(A20="","",VLOOKUP(A20,'مکانیکی 95'!$A:$E,3,FALSE))</f>
        <v>مترطول</v>
      </c>
      <c r="D20" s="68">
        <f>IF(A20="","",VLOOKUP(A20,'مکانیکی 95'!$A:$E,4,FALSE))</f>
        <v>146000</v>
      </c>
      <c r="E20" s="73">
        <f>'خلاصه مکانیکی'!F23</f>
        <v>500</v>
      </c>
      <c r="F20" s="67"/>
      <c r="G20" s="70">
        <f>ROUND(E20*D20,0)</f>
        <v>73000000</v>
      </c>
      <c r="H20" s="51">
        <f>ROUND(F20*D20,0)</f>
        <v>0</v>
      </c>
    </row>
    <row r="21" spans="1:8" s="1" customFormat="1" ht="39.9" customHeight="1">
      <c r="A21" s="171" t="str">
        <f>'خلاصه مکانیکی'!A25</f>
        <v>*</v>
      </c>
      <c r="B21" s="65" t="str">
        <f>'ریزمتره مکانیکی'!B46:I46</f>
        <v>تهیه و اجرای عایق فوم لوله های پنج لایه</v>
      </c>
      <c r="C21" s="75" t="s">
        <v>242</v>
      </c>
      <c r="D21" s="68">
        <v>4000</v>
      </c>
      <c r="E21" s="73">
        <f>'خلاصه مکانیکی'!F25</f>
        <v>2250</v>
      </c>
      <c r="F21" s="67"/>
      <c r="G21" s="70">
        <f>ROUND(E21*D21,0)</f>
        <v>9000000</v>
      </c>
      <c r="H21" s="51">
        <f>ROUND(F21*D21,0)</f>
        <v>0</v>
      </c>
    </row>
    <row r="22" spans="1:8" ht="20.25" customHeight="1">
      <c r="A22" s="667" t="s">
        <v>37</v>
      </c>
      <c r="B22" s="668"/>
      <c r="C22" s="668"/>
      <c r="D22" s="668"/>
      <c r="E22" s="668"/>
      <c r="F22" s="669"/>
      <c r="G22" s="368">
        <f>SUM(G17:G21)</f>
        <v>245650000</v>
      </c>
      <c r="H22" s="369">
        <f>SUM(H17:H17)</f>
        <v>0</v>
      </c>
    </row>
    <row r="23" spans="1:8" ht="24" customHeight="1">
      <c r="A23" s="664" t="str">
        <f>'ریزمتره مکانیکی'!A50:I50</f>
        <v>ﻓﺼﻞ نوزدهم .کانال هوا، دریچه هوا و دودکش</v>
      </c>
      <c r="B23" s="665"/>
      <c r="C23" s="665"/>
      <c r="D23" s="665"/>
      <c r="E23" s="665"/>
      <c r="F23" s="665"/>
      <c r="G23" s="665"/>
      <c r="H23" s="666"/>
    </row>
    <row r="24" spans="1:8" s="1" customFormat="1" ht="39.9" customHeight="1">
      <c r="A24" s="175">
        <f>'خلاصه مکانیکی'!A27</f>
        <v>190102</v>
      </c>
      <c r="B24" s="65" t="str">
        <f>IF(A24="","",VLOOKUP(A24,'مکانیکی 95'!$A:$E,2,FALSE))</f>
        <v>كانال هوا به ضخامت 0/6 ميليمتر.</v>
      </c>
      <c r="C24" s="75" t="str">
        <f>IF(A24="","",VLOOKUP(A24,'مکانیکی 95'!$A:$E,3,FALSE))</f>
        <v>مترمربع</v>
      </c>
      <c r="D24" s="68">
        <f>IF(A24="","",VLOOKUP(A24,'مکانیکی 95'!$A:$E,4,FALSE))</f>
        <v>429500</v>
      </c>
      <c r="E24" s="393">
        <f>'خلاصه مکانیکی'!F27</f>
        <v>800</v>
      </c>
      <c r="F24" s="67"/>
      <c r="G24" s="70">
        <f>ROUND(E24*D24,0)</f>
        <v>343600000</v>
      </c>
      <c r="H24" s="51">
        <f>ROUND(F24*D24,0)</f>
        <v>0</v>
      </c>
    </row>
    <row r="25" spans="1:8" ht="20.25" customHeight="1">
      <c r="A25" s="667" t="s">
        <v>3109</v>
      </c>
      <c r="B25" s="668"/>
      <c r="C25" s="668"/>
      <c r="D25" s="668"/>
      <c r="E25" s="668"/>
      <c r="F25" s="669"/>
      <c r="G25" s="368">
        <f>SUM(G24:G24)</f>
        <v>343600000</v>
      </c>
      <c r="H25" s="369">
        <f>SUM(H24:H24)</f>
        <v>0</v>
      </c>
    </row>
    <row r="26" spans="1:8" ht="24" customHeight="1">
      <c r="A26" s="664" t="str">
        <f>'ریزمتره مکانیکی'!A55:I55</f>
        <v>مصالح پایکار</v>
      </c>
      <c r="B26" s="665"/>
      <c r="C26" s="665"/>
      <c r="D26" s="665"/>
      <c r="E26" s="665"/>
      <c r="F26" s="665"/>
      <c r="G26" s="665"/>
      <c r="H26" s="666"/>
    </row>
    <row r="27" spans="1:8" s="1" customFormat="1" ht="39.9" customHeight="1">
      <c r="A27" s="175">
        <f>'خلاصه مکانیکی'!A29</f>
        <v>410601</v>
      </c>
      <c r="B27" s="65" t="str">
        <f>IF(A27="","",VLOOKUP(A27,'مکانیکی 95'!$A:$E,2,FALSE))</f>
        <v>لوله پي.وي.سي.</v>
      </c>
      <c r="C27" s="75" t="str">
        <f>IF(A27="","",VLOOKUP(A27,'مکانیکی 95'!$A:$E,3,FALSE))</f>
        <v>کيلوگرم</v>
      </c>
      <c r="D27" s="68">
        <f>IF(A27="","",VLOOKUP(A27,'مکانیکی 95'!$A:$E,4,FALSE))</f>
        <v>40900</v>
      </c>
      <c r="E27" s="393">
        <f>'خلاصه مکانیکی'!F29</f>
        <v>1200</v>
      </c>
      <c r="F27" s="67"/>
      <c r="G27" s="70">
        <f>ROUND(E27*D27,0)</f>
        <v>49080000</v>
      </c>
      <c r="H27" s="51">
        <f>ROUND(F27*D27,0)</f>
        <v>0</v>
      </c>
    </row>
    <row r="28" spans="1:8" ht="20.25" customHeight="1">
      <c r="A28" s="667" t="s">
        <v>3065</v>
      </c>
      <c r="B28" s="668"/>
      <c r="C28" s="668"/>
      <c r="D28" s="668"/>
      <c r="E28" s="668"/>
      <c r="F28" s="669"/>
      <c r="G28" s="368">
        <f>SUM(G27:G27)</f>
        <v>49080000</v>
      </c>
      <c r="H28" s="369">
        <f>SUM(H27:H27)</f>
        <v>0</v>
      </c>
    </row>
  </sheetData>
  <protectedRanges>
    <protectedRange password="CE28" sqref="E10 E27 E17 E24" name="مشاور_1"/>
  </protectedRanges>
  <mergeCells count="23">
    <mergeCell ref="A3:B5"/>
    <mergeCell ref="C3:D5"/>
    <mergeCell ref="A28:F28"/>
    <mergeCell ref="E1:H1"/>
    <mergeCell ref="A15:F15"/>
    <mergeCell ref="A2:B2"/>
    <mergeCell ref="C2:H2"/>
    <mergeCell ref="E3:H3"/>
    <mergeCell ref="E4:H4"/>
    <mergeCell ref="E5:H5"/>
    <mergeCell ref="A6:A8"/>
    <mergeCell ref="B6:B8"/>
    <mergeCell ref="C6:C8"/>
    <mergeCell ref="D6:D8"/>
    <mergeCell ref="F6:H6"/>
    <mergeCell ref="E7:F7"/>
    <mergeCell ref="G7:H7"/>
    <mergeCell ref="A9:H9"/>
    <mergeCell ref="A26:H26"/>
    <mergeCell ref="A16:H16"/>
    <mergeCell ref="A22:F22"/>
    <mergeCell ref="A23:H23"/>
    <mergeCell ref="A25:F25"/>
  </mergeCells>
  <printOptions horizontalCentered="1"/>
  <pageMargins left="0" right="0" top="0.19685039370078741" bottom="0.39370078740157483" header="0" footer="0"/>
  <pageSetup paperSize="9" scale="93" fitToHeight="4" orientation="portrait" r:id="rId1"/>
  <headerFooter alignWithMargins="0">
    <oddHeader>&amp;L&amp;"B Nazanin,Regular"&amp;P</oddHeader>
    <oddFooter xml:space="preserve">&amp;L&amp;"B Lotus,Regular"&amp;12نماینده کارفرما                     &amp;C&amp;"B Lotus,Regular"&amp;12                                  نظارت                                           &amp;R&amp;"B Lotus,Regular"&amp;12                  پیمانکار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31"/>
  <sheetViews>
    <sheetView showZeros="0" rightToLeft="1" view="pageBreakPreview" zoomScaleNormal="125" zoomScaleSheetLayoutView="100" workbookViewId="0">
      <selection activeCell="F4" sqref="F4"/>
    </sheetView>
  </sheetViews>
  <sheetFormatPr defaultColWidth="9.109375" defaultRowHeight="16.5" customHeight="1"/>
  <cols>
    <col min="1" max="1" width="18.109375" style="190" customWidth="1"/>
    <col min="2" max="2" width="18.33203125" style="295" customWidth="1"/>
    <col min="3" max="3" width="12.5546875" style="295" customWidth="1"/>
    <col min="4" max="4" width="17.5546875" style="192" customWidth="1"/>
    <col min="5" max="5" width="17.5546875" style="193" customWidth="1"/>
    <col min="6" max="6" width="17.5546875" style="194" customWidth="1"/>
    <col min="7" max="16384" width="9.109375" style="179"/>
  </cols>
  <sheetData>
    <row r="1" spans="1:6" ht="21" customHeight="1">
      <c r="A1" s="751" t="str">
        <f>اطلاعات!B15</f>
        <v>کارفرما : اداره کل نوسازی مدارس استان ....</v>
      </c>
      <c r="B1" s="751"/>
      <c r="C1" s="545" t="str">
        <f>اطلاعات!B14</f>
        <v>موضوع قرارداد : ساختمان اداره کل نوسازی مدارس...</v>
      </c>
      <c r="D1" s="545"/>
      <c r="E1" s="276" t="str">
        <f>اطلاعات!B5</f>
        <v>صورت وضعيت موقت شماره10</v>
      </c>
      <c r="F1" s="265"/>
    </row>
    <row r="2" spans="1:6" ht="16.5" customHeight="1">
      <c r="A2" s="751"/>
      <c r="B2" s="751"/>
      <c r="C2" s="545"/>
      <c r="D2" s="545"/>
      <c r="E2" s="277" t="str">
        <f>اطلاعات!B7</f>
        <v>دوره كاركرد از: 1399/06/19</v>
      </c>
      <c r="F2" s="266"/>
    </row>
    <row r="3" spans="1:6" ht="16.5" customHeight="1">
      <c r="A3" s="182" t="str">
        <f>اطلاعات!B18</f>
        <v>پیمانکار :  مهندسین پیمانکار ....</v>
      </c>
      <c r="B3" s="181"/>
      <c r="C3" s="545"/>
      <c r="D3" s="545"/>
      <c r="E3" s="184" t="str">
        <f>اطلاعات!B8</f>
        <v>لغايت : 1399/07/19</v>
      </c>
      <c r="F3" s="267"/>
    </row>
    <row r="4" spans="1:6" ht="16.5" customHeight="1">
      <c r="A4" s="183" t="str">
        <f>اطلاعات!B16</f>
        <v xml:space="preserve"> قرارداد شماره :  1232579/ر/1399</v>
      </c>
      <c r="B4" s="181"/>
      <c r="C4" s="545"/>
      <c r="D4" s="545"/>
      <c r="E4" s="184"/>
      <c r="F4" s="267" t="s">
        <v>23</v>
      </c>
    </row>
    <row r="5" spans="1:6" ht="16.5" customHeight="1">
      <c r="A5" s="548" t="s">
        <v>149</v>
      </c>
      <c r="B5" s="548"/>
      <c r="C5" s="548"/>
      <c r="D5" s="548"/>
      <c r="E5" s="548"/>
      <c r="F5" s="548"/>
    </row>
    <row r="6" spans="1:6" s="185" customFormat="1" ht="26.25" customHeight="1">
      <c r="A6" s="258" t="s">
        <v>150</v>
      </c>
      <c r="B6" s="259" t="s">
        <v>151</v>
      </c>
      <c r="C6" s="259"/>
      <c r="D6" s="260" t="s">
        <v>152</v>
      </c>
      <c r="E6" s="261" t="s">
        <v>153</v>
      </c>
      <c r="F6" s="261" t="s">
        <v>154</v>
      </c>
    </row>
    <row r="7" spans="1:6" ht="14.1" customHeight="1">
      <c r="A7" s="290" t="str">
        <f>'ریزمتره مکانیکی'!A9</f>
        <v>030303</v>
      </c>
      <c r="B7" s="543"/>
      <c r="C7" s="187" t="s">
        <v>130</v>
      </c>
      <c r="D7" s="270">
        <v>350</v>
      </c>
      <c r="E7" s="278">
        <f>F7-D7</f>
        <v>100</v>
      </c>
      <c r="F7" s="283">
        <f>IF(A7="","",VLOOKUP(A7,'ریزمتره مکانیکی'!$F:$G,2,FALSE))</f>
        <v>450</v>
      </c>
    </row>
    <row r="8" spans="1:6" ht="14.1" customHeight="1">
      <c r="A8" s="287"/>
      <c r="B8" s="544"/>
      <c r="C8" s="186" t="s">
        <v>155</v>
      </c>
      <c r="D8" s="224"/>
      <c r="E8" s="281"/>
      <c r="F8" s="284"/>
    </row>
    <row r="9" spans="1:6" ht="14.1" customHeight="1">
      <c r="A9" s="290" t="str">
        <f>'ریزمتره مکانیکی'!A13</f>
        <v>030305</v>
      </c>
      <c r="B9" s="543"/>
      <c r="C9" s="187" t="s">
        <v>130</v>
      </c>
      <c r="D9" s="270">
        <v>50</v>
      </c>
      <c r="E9" s="278">
        <f>F9-D9</f>
        <v>30</v>
      </c>
      <c r="F9" s="283">
        <f>IF(A9="","",VLOOKUP(A9,'ریزمتره مکانیکی'!$F:$G,2,FALSE))</f>
        <v>80</v>
      </c>
    </row>
    <row r="10" spans="1:6" ht="14.1" customHeight="1">
      <c r="A10" s="287"/>
      <c r="B10" s="544"/>
      <c r="C10" s="186" t="s">
        <v>155</v>
      </c>
      <c r="D10" s="224"/>
      <c r="E10" s="281"/>
      <c r="F10" s="284"/>
    </row>
    <row r="11" spans="1:6" ht="14.1" customHeight="1">
      <c r="A11" s="290" t="str">
        <f>'ریزمتره مکانیکی'!A17</f>
        <v>030306</v>
      </c>
      <c r="B11" s="543"/>
      <c r="C11" s="187" t="s">
        <v>130</v>
      </c>
      <c r="D11" s="270">
        <v>250</v>
      </c>
      <c r="E11" s="278">
        <f>F11-D11</f>
        <v>100</v>
      </c>
      <c r="F11" s="283">
        <f>IF(A11="","",VLOOKUP(A11,'ریزمتره مکانیکی'!$F:$G,2,FALSE))</f>
        <v>350</v>
      </c>
    </row>
    <row r="12" spans="1:6" ht="14.1" customHeight="1">
      <c r="A12" s="287"/>
      <c r="B12" s="544"/>
      <c r="C12" s="186" t="s">
        <v>155</v>
      </c>
      <c r="D12" s="224"/>
      <c r="E12" s="281"/>
      <c r="F12" s="284"/>
    </row>
    <row r="13" spans="1:6" ht="14.1" customHeight="1">
      <c r="A13" s="290" t="str">
        <f>'ریزمتره مکانیکی'!A21</f>
        <v>030502*</v>
      </c>
      <c r="B13" s="543"/>
      <c r="C13" s="187" t="s">
        <v>130</v>
      </c>
      <c r="D13" s="270">
        <v>250</v>
      </c>
      <c r="E13" s="278">
        <f>F13-D13</f>
        <v>0</v>
      </c>
      <c r="F13" s="283">
        <f>IF(A13="","",VLOOKUP(A13,'ریزمتره مکانیکی'!$F:$G,2,FALSE))</f>
        <v>250</v>
      </c>
    </row>
    <row r="14" spans="1:6" ht="14.1" customHeight="1">
      <c r="A14" s="287"/>
      <c r="B14" s="544"/>
      <c r="C14" s="186" t="s">
        <v>155</v>
      </c>
      <c r="D14" s="224"/>
      <c r="E14" s="281"/>
      <c r="F14" s="284"/>
    </row>
    <row r="15" spans="1:6" ht="14.1" customHeight="1">
      <c r="A15" s="290" t="str">
        <f>'ریزمتره مکانیکی'!A25</f>
        <v>030311</v>
      </c>
      <c r="B15" s="543"/>
      <c r="C15" s="187" t="s">
        <v>130</v>
      </c>
      <c r="D15" s="270"/>
      <c r="E15" s="278">
        <f>F15-D15</f>
        <v>200</v>
      </c>
      <c r="F15" s="283">
        <f>IF(A15="","",VLOOKUP(A15,'ریزمتره مکانیکی'!$F:$G,2,FALSE))</f>
        <v>200</v>
      </c>
    </row>
    <row r="16" spans="1:6" ht="14.1" customHeight="1">
      <c r="A16" s="287"/>
      <c r="B16" s="544"/>
      <c r="C16" s="186" t="s">
        <v>155</v>
      </c>
      <c r="D16" s="224"/>
      <c r="E16" s="281"/>
      <c r="F16" s="284"/>
    </row>
    <row r="17" spans="1:6" ht="14.1" customHeight="1">
      <c r="A17" s="290" t="str">
        <f>'ریزمتره مکانیکی'!A30</f>
        <v>040201</v>
      </c>
      <c r="B17" s="543"/>
      <c r="C17" s="187" t="s">
        <v>130</v>
      </c>
      <c r="D17" s="270">
        <v>0</v>
      </c>
      <c r="E17" s="278">
        <f>F17-D17</f>
        <v>500</v>
      </c>
      <c r="F17" s="283">
        <f>IF(A17="","",VLOOKUP(A17,'ریزمتره مکانیکی'!$F:$G,2,FALSE))</f>
        <v>500</v>
      </c>
    </row>
    <row r="18" spans="1:6" ht="14.1" customHeight="1">
      <c r="A18" s="287"/>
      <c r="B18" s="544"/>
      <c r="C18" s="186" t="s">
        <v>155</v>
      </c>
      <c r="D18" s="224"/>
      <c r="E18" s="281"/>
      <c r="F18" s="284"/>
    </row>
    <row r="19" spans="1:6" ht="14.1" customHeight="1">
      <c r="A19" s="290" t="str">
        <f>'ریزمتره مکانیکی'!A34</f>
        <v>040202</v>
      </c>
      <c r="B19" s="543"/>
      <c r="C19" s="187" t="s">
        <v>130</v>
      </c>
      <c r="D19" s="270">
        <v>0</v>
      </c>
      <c r="E19" s="278">
        <f>F19-D19</f>
        <v>750</v>
      </c>
      <c r="F19" s="283">
        <f>IF(A19="","",VLOOKUP(A19,'ریزمتره مکانیکی'!$F:$G,2,FALSE))</f>
        <v>750</v>
      </c>
    </row>
    <row r="20" spans="1:6" ht="14.1" customHeight="1">
      <c r="A20" s="287"/>
      <c r="B20" s="544"/>
      <c r="C20" s="186" t="s">
        <v>155</v>
      </c>
      <c r="D20" s="224"/>
      <c r="E20" s="281"/>
      <c r="F20" s="284"/>
    </row>
    <row r="21" spans="1:6" ht="14.1" customHeight="1">
      <c r="A21" s="290" t="str">
        <f>'ریزمتره مکانیکی'!A38</f>
        <v>040203</v>
      </c>
      <c r="B21" s="543"/>
      <c r="C21" s="187" t="s">
        <v>130</v>
      </c>
      <c r="D21" s="270">
        <v>0</v>
      </c>
      <c r="E21" s="278">
        <f>F21-D21</f>
        <v>500</v>
      </c>
      <c r="F21" s="283">
        <f>IF(A21="","",VLOOKUP(A21,'ریزمتره مکانیکی'!$F:$G,2,FALSE))</f>
        <v>500</v>
      </c>
    </row>
    <row r="22" spans="1:6" ht="14.1" customHeight="1">
      <c r="A22" s="287"/>
      <c r="B22" s="544"/>
      <c r="C22" s="186" t="s">
        <v>155</v>
      </c>
      <c r="D22" s="224"/>
      <c r="E22" s="281"/>
      <c r="F22" s="284"/>
    </row>
    <row r="23" spans="1:6" ht="14.1" customHeight="1">
      <c r="A23" s="290" t="str">
        <f>'ریزمتره مکانیکی'!A42</f>
        <v>040204</v>
      </c>
      <c r="B23" s="543"/>
      <c r="C23" s="187" t="s">
        <v>130</v>
      </c>
      <c r="D23" s="270">
        <v>0</v>
      </c>
      <c r="E23" s="278">
        <f>F23-D23</f>
        <v>500</v>
      </c>
      <c r="F23" s="283">
        <f>IF(A23="","",VLOOKUP(A23,'ریزمتره مکانیکی'!$F:$G,2,FALSE))</f>
        <v>500</v>
      </c>
    </row>
    <row r="24" spans="1:6" ht="14.1" customHeight="1">
      <c r="A24" s="287"/>
      <c r="B24" s="544"/>
      <c r="C24" s="186" t="s">
        <v>155</v>
      </c>
      <c r="D24" s="224"/>
      <c r="E24" s="281"/>
      <c r="F24" s="284"/>
    </row>
    <row r="25" spans="1:6" ht="13.5" customHeight="1">
      <c r="A25" s="290" t="str">
        <f>'ریزمتره مکانیکی'!A46</f>
        <v>*</v>
      </c>
      <c r="B25" s="543"/>
      <c r="C25" s="187" t="s">
        <v>130</v>
      </c>
      <c r="D25" s="270">
        <v>0</v>
      </c>
      <c r="E25" s="278">
        <f>F25-D25</f>
        <v>2250</v>
      </c>
      <c r="F25" s="283">
        <f>'ریزمتره مکانیکی'!G49</f>
        <v>2250</v>
      </c>
    </row>
    <row r="26" spans="1:6" ht="14.1" customHeight="1">
      <c r="A26" s="287"/>
      <c r="B26" s="544"/>
      <c r="C26" s="186" t="s">
        <v>155</v>
      </c>
      <c r="D26" s="224"/>
      <c r="E26" s="281"/>
      <c r="F26" s="284"/>
    </row>
    <row r="27" spans="1:6" ht="14.1" customHeight="1">
      <c r="A27" s="290">
        <f>'ریزمتره مکانیکی'!A51</f>
        <v>190102</v>
      </c>
      <c r="B27" s="543"/>
      <c r="C27" s="188" t="s">
        <v>130</v>
      </c>
      <c r="D27" s="271"/>
      <c r="E27" s="280">
        <f>F27-D27</f>
        <v>800</v>
      </c>
      <c r="F27" s="282">
        <f>IF(A27="","",VLOOKUP(A27,'ریزمتره مکانیکی'!$F:$G,2,FALSE))</f>
        <v>800</v>
      </c>
    </row>
    <row r="28" spans="1:6" ht="14.1" customHeight="1">
      <c r="A28" s="287"/>
      <c r="B28" s="544"/>
      <c r="C28" s="186" t="s">
        <v>155</v>
      </c>
      <c r="D28" s="224"/>
      <c r="E28" s="281"/>
      <c r="F28" s="284"/>
    </row>
    <row r="29" spans="1:6" ht="14.1" customHeight="1">
      <c r="A29" s="290">
        <f>'ریزمتره مکانیکی'!A56</f>
        <v>410601</v>
      </c>
      <c r="B29" s="543"/>
      <c r="C29" s="188" t="s">
        <v>130</v>
      </c>
      <c r="D29" s="271">
        <v>600</v>
      </c>
      <c r="E29" s="280">
        <f>F29-D29</f>
        <v>600</v>
      </c>
      <c r="F29" s="282">
        <f>IF(A29="","",VLOOKUP(A29,'ریزمتره مکانیکی'!$F:$G,2,FALSE))</f>
        <v>1200</v>
      </c>
    </row>
    <row r="30" spans="1:6" ht="14.1" customHeight="1">
      <c r="A30" s="287"/>
      <c r="B30" s="544"/>
      <c r="C30" s="186" t="s">
        <v>155</v>
      </c>
      <c r="D30" s="224"/>
      <c r="E30" s="281"/>
      <c r="F30" s="284"/>
    </row>
    <row r="31" spans="1:6" ht="16.5" customHeight="1">
      <c r="A31" s="253"/>
      <c r="B31" s="254"/>
      <c r="C31" s="254"/>
      <c r="D31" s="255"/>
      <c r="E31" s="256"/>
      <c r="F31" s="257"/>
    </row>
  </sheetData>
  <protectedRanges>
    <protectedRange password="CE28" sqref="D7:D30" name="مشاور_1_3"/>
  </protectedRanges>
  <mergeCells count="15">
    <mergeCell ref="B9:B10"/>
    <mergeCell ref="A5:F5"/>
    <mergeCell ref="B7:B8"/>
    <mergeCell ref="B29:B30"/>
    <mergeCell ref="B11:B12"/>
    <mergeCell ref="B13:B14"/>
    <mergeCell ref="B17:B18"/>
    <mergeCell ref="B19:B20"/>
    <mergeCell ref="B21:B22"/>
    <mergeCell ref="B23:B24"/>
    <mergeCell ref="B25:B26"/>
    <mergeCell ref="B27:B28"/>
    <mergeCell ref="B15:B16"/>
    <mergeCell ref="A1:B2"/>
    <mergeCell ref="C1:D4"/>
  </mergeCells>
  <printOptions horizontalCentered="1"/>
  <pageMargins left="0" right="0" top="0" bottom="0.78740157480314965" header="0" footer="0"/>
  <pageSetup paperSize="9" orientation="portrait" r:id="rId1"/>
  <headerFooter alignWithMargins="0">
    <oddFooter>&amp;L&amp;"B Nazanin,Regular"نماینده کارفرما :&amp;C&amp;"B Nazanin,Regular" نظارت :&amp;R&amp;"B Nazanin,Regular" پیمانکار:</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59"/>
  <sheetViews>
    <sheetView rightToLeft="1" tabSelected="1" view="pageBreakPreview" zoomScale="140" zoomScaleSheetLayoutView="140" workbookViewId="0">
      <selection activeCell="H4" sqref="H4:I4"/>
    </sheetView>
  </sheetViews>
  <sheetFormatPr defaultColWidth="9.109375" defaultRowHeight="16.2"/>
  <cols>
    <col min="1" max="1" width="5.88671875" style="378" customWidth="1"/>
    <col min="2" max="2" width="30.44140625" style="378" customWidth="1"/>
    <col min="3" max="3" width="5.33203125" style="378" customWidth="1"/>
    <col min="4" max="4" width="6.109375" style="378" customWidth="1"/>
    <col min="5" max="5" width="5.33203125" style="378" customWidth="1"/>
    <col min="6" max="6" width="5.5546875" style="378" customWidth="1"/>
    <col min="7" max="7" width="9.109375" style="378" customWidth="1"/>
    <col min="8" max="8" width="8.6640625" style="383" customWidth="1"/>
    <col min="9" max="9" width="23.88671875" style="378" customWidth="1"/>
    <col min="10" max="16384" width="9.109375" style="378"/>
  </cols>
  <sheetData>
    <row r="1" spans="1:9" s="296" customFormat="1" ht="18.75" customHeight="1">
      <c r="A1" s="756" t="str">
        <f>اطلاعات!B15</f>
        <v>کارفرما : اداره کل نوسازی مدارس استان ....</v>
      </c>
      <c r="B1" s="756"/>
      <c r="C1" s="757" t="str">
        <f>اطلاعات!B14</f>
        <v>موضوع قرارداد : ساختمان اداره کل نوسازی مدارس...</v>
      </c>
      <c r="D1" s="757"/>
      <c r="E1" s="757"/>
      <c r="F1" s="757"/>
      <c r="G1" s="757"/>
      <c r="H1" s="758" t="str">
        <f>اطلاعات!B16</f>
        <v xml:space="preserve"> قرارداد شماره :  1232579/ر/1399</v>
      </c>
      <c r="I1" s="758"/>
    </row>
    <row r="2" spans="1:9" s="296" customFormat="1" ht="18" customHeight="1">
      <c r="A2" s="756"/>
      <c r="B2" s="756"/>
      <c r="C2" s="757"/>
      <c r="D2" s="757"/>
      <c r="E2" s="757"/>
      <c r="F2" s="757"/>
      <c r="G2" s="757"/>
      <c r="H2" s="759"/>
      <c r="I2" s="759"/>
    </row>
    <row r="3" spans="1:9" s="296" customFormat="1" ht="18" customHeight="1">
      <c r="A3" s="760" t="str">
        <f>اطلاعات!B18</f>
        <v>پیمانکار :  مهندسین پیمانکار ....</v>
      </c>
      <c r="B3" s="760"/>
      <c r="C3" s="757"/>
      <c r="D3" s="757"/>
      <c r="E3" s="757"/>
      <c r="F3" s="757"/>
      <c r="G3" s="757"/>
      <c r="H3" s="760" t="str">
        <f>اطلاعات!B5</f>
        <v>صورت وضعيت موقت شماره10</v>
      </c>
      <c r="I3" s="760"/>
    </row>
    <row r="4" spans="1:9" s="296" customFormat="1" ht="18" customHeight="1">
      <c r="A4" s="761" t="str">
        <f>اطلاعات!$B$23</f>
        <v xml:space="preserve">فهرست بهای پیمان : </v>
      </c>
      <c r="B4" s="761"/>
      <c r="C4" s="762" t="s">
        <v>125</v>
      </c>
      <c r="D4" s="762"/>
      <c r="E4" s="762"/>
      <c r="F4" s="762"/>
      <c r="G4" s="762"/>
      <c r="H4" s="760" t="str">
        <f>اطلاعات!B7</f>
        <v>دوره كاركرد از: 1399/06/19</v>
      </c>
      <c r="I4" s="760"/>
    </row>
    <row r="5" spans="1:9" s="296" customFormat="1" ht="19.5" customHeight="1">
      <c r="A5" s="763"/>
      <c r="B5" s="763"/>
      <c r="C5" s="762"/>
      <c r="D5" s="762"/>
      <c r="E5" s="762"/>
      <c r="F5" s="762"/>
      <c r="G5" s="762"/>
      <c r="H5" s="760" t="str">
        <f>اطلاعات!B8</f>
        <v>لغايت : 1399/07/19</v>
      </c>
      <c r="I5" s="760"/>
    </row>
    <row r="6" spans="1:9" ht="15" customHeight="1">
      <c r="A6" s="752" t="s">
        <v>7</v>
      </c>
      <c r="B6" s="753" t="s">
        <v>14</v>
      </c>
      <c r="C6" s="753" t="s">
        <v>8</v>
      </c>
      <c r="D6" s="753" t="s">
        <v>27</v>
      </c>
      <c r="E6" s="753"/>
      <c r="F6" s="753"/>
      <c r="G6" s="754" t="s">
        <v>28</v>
      </c>
      <c r="H6" s="754"/>
      <c r="I6" s="755" t="s">
        <v>42</v>
      </c>
    </row>
    <row r="7" spans="1:9" ht="15" customHeight="1">
      <c r="A7" s="695"/>
      <c r="B7" s="696"/>
      <c r="C7" s="696"/>
      <c r="D7" s="379" t="s">
        <v>9</v>
      </c>
      <c r="E7" s="379" t="s">
        <v>10</v>
      </c>
      <c r="F7" s="379" t="s">
        <v>11</v>
      </c>
      <c r="G7" s="379" t="s">
        <v>29</v>
      </c>
      <c r="H7" s="380" t="s">
        <v>30</v>
      </c>
      <c r="I7" s="697"/>
    </row>
    <row r="8" spans="1:9" ht="15" customHeight="1">
      <c r="A8" s="686" t="s">
        <v>1841</v>
      </c>
      <c r="B8" s="687"/>
      <c r="C8" s="687"/>
      <c r="D8" s="687"/>
      <c r="E8" s="687"/>
      <c r="F8" s="687"/>
      <c r="G8" s="687"/>
      <c r="H8" s="687"/>
      <c r="I8" s="688"/>
    </row>
    <row r="9" spans="1:9" ht="14.1" customHeight="1">
      <c r="A9" s="693" t="s">
        <v>1838</v>
      </c>
      <c r="B9" s="581" t="str">
        <f>IF(A9="","",VLOOKUP(A9,'مکانیکی 95'!$A:$E,2,FALSE))</f>
        <v>لوله پي.وي.سي سخـت، به قطر خارجي 63 ميليمتر و فشار كار 6 بار.</v>
      </c>
      <c r="C9" s="582"/>
      <c r="D9" s="582"/>
      <c r="E9" s="582"/>
      <c r="F9" s="582"/>
      <c r="G9" s="582"/>
      <c r="H9" s="582"/>
      <c r="I9" s="583"/>
    </row>
    <row r="10" spans="1:9" ht="15" customHeight="1">
      <c r="A10" s="694"/>
      <c r="B10" s="691" t="s">
        <v>3025</v>
      </c>
      <c r="C10" s="53"/>
      <c r="D10" s="53"/>
      <c r="E10" s="54"/>
      <c r="F10" s="53"/>
      <c r="G10" s="692">
        <v>450</v>
      </c>
      <c r="H10" s="684"/>
      <c r="I10" s="685" t="s">
        <v>65</v>
      </c>
    </row>
    <row r="11" spans="1:9" ht="15" customHeight="1">
      <c r="A11" s="694"/>
      <c r="B11" s="691"/>
      <c r="C11" s="54"/>
      <c r="D11" s="54"/>
      <c r="E11" s="54"/>
      <c r="F11" s="54"/>
      <c r="G11" s="692"/>
      <c r="H11" s="684"/>
      <c r="I11" s="685"/>
    </row>
    <row r="12" spans="1:9" s="296" customFormat="1" ht="12" customHeight="1">
      <c r="A12" s="694"/>
      <c r="B12" s="565" t="s">
        <v>33</v>
      </c>
      <c r="C12" s="566"/>
      <c r="D12" s="566"/>
      <c r="E12" s="567"/>
      <c r="F12" s="299" t="str">
        <f>A9</f>
        <v>030303</v>
      </c>
      <c r="G12" s="300">
        <f>SUM(G10:G11)</f>
        <v>450</v>
      </c>
      <c r="H12" s="301"/>
      <c r="I12" s="302" t="str">
        <f>IF(F12="","",VLOOKUP(F12,'مکانیکی 95'!$A:$E,3,FALSE))</f>
        <v>مترطول</v>
      </c>
    </row>
    <row r="13" spans="1:9" ht="14.1" customHeight="1">
      <c r="A13" s="693" t="s">
        <v>1839</v>
      </c>
      <c r="B13" s="581" t="str">
        <f>IF(A13="","",VLOOKUP(A13,'مکانیکی 95'!$A:$E,2,FALSE))</f>
        <v>لوله پي.وي.سي سخـت، به قطر خارجي 90 ميليمتر و فشار كار 6 بار.</v>
      </c>
      <c r="C13" s="582"/>
      <c r="D13" s="582"/>
      <c r="E13" s="582"/>
      <c r="F13" s="582"/>
      <c r="G13" s="582"/>
      <c r="H13" s="582"/>
      <c r="I13" s="583"/>
    </row>
    <row r="14" spans="1:9" ht="15" customHeight="1">
      <c r="A14" s="694"/>
      <c r="B14" s="691" t="s">
        <v>3025</v>
      </c>
      <c r="C14" s="53"/>
      <c r="D14" s="53"/>
      <c r="E14" s="54"/>
      <c r="F14" s="53"/>
      <c r="G14" s="692">
        <v>80</v>
      </c>
      <c r="H14" s="684"/>
      <c r="I14" s="685" t="s">
        <v>65</v>
      </c>
    </row>
    <row r="15" spans="1:9" ht="15" customHeight="1">
      <c r="A15" s="694"/>
      <c r="B15" s="691"/>
      <c r="C15" s="54"/>
      <c r="D15" s="54"/>
      <c r="E15" s="54"/>
      <c r="F15" s="54"/>
      <c r="G15" s="692"/>
      <c r="H15" s="684"/>
      <c r="I15" s="685"/>
    </row>
    <row r="16" spans="1:9" s="296" customFormat="1" ht="12" customHeight="1">
      <c r="A16" s="694"/>
      <c r="B16" s="565" t="s">
        <v>33</v>
      </c>
      <c r="C16" s="566"/>
      <c r="D16" s="566"/>
      <c r="E16" s="567"/>
      <c r="F16" s="299" t="str">
        <f>A13</f>
        <v>030305</v>
      </c>
      <c r="G16" s="381">
        <f>SUM(G14:G15)</f>
        <v>80</v>
      </c>
      <c r="H16" s="382"/>
      <c r="I16" s="302" t="str">
        <f>IF(F16="","",VLOOKUP(F16,'مکانیکی 95'!$A:$E,3,FALSE))</f>
        <v>مترطول</v>
      </c>
    </row>
    <row r="17" spans="1:9" ht="14.1" customHeight="1">
      <c r="A17" s="693" t="s">
        <v>1840</v>
      </c>
      <c r="B17" s="581" t="str">
        <f>IF(A17="","",VLOOKUP(A17,'مکانیکی 95'!$A:$E,2,FALSE))</f>
        <v>لوله پي.وي.سي سخـت، به قطر خارجي 110 ميليمتر و فشار كار 6 بار.</v>
      </c>
      <c r="C17" s="582"/>
      <c r="D17" s="582"/>
      <c r="E17" s="582"/>
      <c r="F17" s="582"/>
      <c r="G17" s="582"/>
      <c r="H17" s="582"/>
      <c r="I17" s="583"/>
    </row>
    <row r="18" spans="1:9" ht="15" customHeight="1">
      <c r="A18" s="694"/>
      <c r="B18" s="691" t="s">
        <v>3025</v>
      </c>
      <c r="C18" s="53"/>
      <c r="D18" s="53"/>
      <c r="E18" s="54"/>
      <c r="F18" s="53"/>
      <c r="G18" s="692">
        <v>350</v>
      </c>
      <c r="H18" s="684"/>
      <c r="I18" s="685" t="s">
        <v>65</v>
      </c>
    </row>
    <row r="19" spans="1:9" ht="15" customHeight="1">
      <c r="A19" s="694"/>
      <c r="B19" s="691"/>
      <c r="C19" s="54"/>
      <c r="D19" s="54"/>
      <c r="E19" s="54"/>
      <c r="F19" s="54"/>
      <c r="G19" s="692"/>
      <c r="H19" s="684"/>
      <c r="I19" s="685"/>
    </row>
    <row r="20" spans="1:9" s="296" customFormat="1" ht="12" customHeight="1">
      <c r="A20" s="694"/>
      <c r="B20" s="565" t="s">
        <v>33</v>
      </c>
      <c r="C20" s="566"/>
      <c r="D20" s="566"/>
      <c r="E20" s="567"/>
      <c r="F20" s="299" t="str">
        <f>A17</f>
        <v>030306</v>
      </c>
      <c r="G20" s="404">
        <f>SUM(G18:G19)</f>
        <v>350</v>
      </c>
      <c r="H20" s="405"/>
      <c r="I20" s="302" t="str">
        <f>IF(F20="","",VLOOKUP(F20,'مکانیکی 95'!$A:$E,3,FALSE))</f>
        <v>مترطول</v>
      </c>
    </row>
    <row r="21" spans="1:9" ht="14.1" customHeight="1">
      <c r="A21" s="693" t="s">
        <v>3066</v>
      </c>
      <c r="B21" s="581" t="s">
        <v>3067</v>
      </c>
      <c r="C21" s="582"/>
      <c r="D21" s="582"/>
      <c r="E21" s="582"/>
      <c r="F21" s="582"/>
      <c r="G21" s="582"/>
      <c r="H21" s="582"/>
      <c r="I21" s="583"/>
    </row>
    <row r="22" spans="1:9" ht="15" customHeight="1">
      <c r="A22" s="694"/>
      <c r="B22" s="691" t="s">
        <v>3025</v>
      </c>
      <c r="C22" s="53"/>
      <c r="D22" s="53"/>
      <c r="E22" s="54"/>
      <c r="F22" s="53"/>
      <c r="G22" s="692">
        <v>250</v>
      </c>
      <c r="H22" s="684"/>
      <c r="I22" s="685" t="s">
        <v>65</v>
      </c>
    </row>
    <row r="23" spans="1:9" ht="15" customHeight="1">
      <c r="A23" s="694"/>
      <c r="B23" s="691"/>
      <c r="C23" s="54"/>
      <c r="D23" s="54"/>
      <c r="E23" s="54"/>
      <c r="F23" s="54"/>
      <c r="G23" s="692"/>
      <c r="H23" s="684"/>
      <c r="I23" s="685"/>
    </row>
    <row r="24" spans="1:9" s="296" customFormat="1" ht="12" customHeight="1">
      <c r="A24" s="694"/>
      <c r="B24" s="565" t="s">
        <v>33</v>
      </c>
      <c r="C24" s="566"/>
      <c r="D24" s="566"/>
      <c r="E24" s="567"/>
      <c r="F24" s="411" t="str">
        <f>A21</f>
        <v>030502*</v>
      </c>
      <c r="G24" s="404">
        <f>SUM(G22:G23)</f>
        <v>250</v>
      </c>
      <c r="H24" s="405"/>
      <c r="I24" s="302" t="str">
        <f>IF(F24="","",VLOOKUP(F24,'مکانیکی 95'!$A:$E,3,FALSE))</f>
        <v>مترطول</v>
      </c>
    </row>
    <row r="25" spans="1:9" ht="14.1" customHeight="1">
      <c r="A25" s="693" t="s">
        <v>1935</v>
      </c>
      <c r="B25" s="581" t="str">
        <f>IF(A25="","",VLOOKUP(A25,'مکانیکی 95'!$A:$E,2,FALSE))</f>
        <v>لوله پي.وي.سي سخـت، به قطر خارجي 200 ميليمتر و فشار كار 6 بار.</v>
      </c>
      <c r="C25" s="582"/>
      <c r="D25" s="582"/>
      <c r="E25" s="582"/>
      <c r="F25" s="582"/>
      <c r="G25" s="582"/>
      <c r="H25" s="582"/>
      <c r="I25" s="583"/>
    </row>
    <row r="26" spans="1:9" ht="15" customHeight="1">
      <c r="A26" s="694"/>
      <c r="B26" s="691" t="s">
        <v>3111</v>
      </c>
      <c r="C26" s="53"/>
      <c r="D26" s="53"/>
      <c r="E26" s="54"/>
      <c r="F26" s="53"/>
      <c r="G26" s="692">
        <v>200</v>
      </c>
      <c r="H26" s="684"/>
      <c r="I26" s="685" t="s">
        <v>65</v>
      </c>
    </row>
    <row r="27" spans="1:9" ht="15" customHeight="1">
      <c r="A27" s="694"/>
      <c r="B27" s="691"/>
      <c r="C27" s="54"/>
      <c r="D27" s="54"/>
      <c r="E27" s="54"/>
      <c r="F27" s="54"/>
      <c r="G27" s="692"/>
      <c r="H27" s="684"/>
      <c r="I27" s="685"/>
    </row>
    <row r="28" spans="1:9" s="296" customFormat="1" ht="12" customHeight="1">
      <c r="A28" s="694"/>
      <c r="B28" s="565" t="s">
        <v>33</v>
      </c>
      <c r="C28" s="566"/>
      <c r="D28" s="566"/>
      <c r="E28" s="567"/>
      <c r="F28" s="299" t="str">
        <f>A25</f>
        <v>030311</v>
      </c>
      <c r="G28" s="414">
        <f>SUM(G26:G27)</f>
        <v>200</v>
      </c>
      <c r="H28" s="415"/>
      <c r="I28" s="302" t="str">
        <f>IF(F28="","",VLOOKUP(F28,'مکانیکی 95'!$A:$E,3,FALSE))</f>
        <v>مترطول</v>
      </c>
    </row>
    <row r="29" spans="1:9" ht="15" customHeight="1">
      <c r="A29" s="686" t="s">
        <v>3082</v>
      </c>
      <c r="B29" s="687"/>
      <c r="C29" s="687"/>
      <c r="D29" s="687"/>
      <c r="E29" s="687"/>
      <c r="F29" s="687"/>
      <c r="G29" s="687"/>
      <c r="H29" s="687"/>
      <c r="I29" s="688"/>
    </row>
    <row r="30" spans="1:9" ht="14.1" customHeight="1">
      <c r="A30" s="693" t="s">
        <v>507</v>
      </c>
      <c r="B30" s="581" t="str">
        <f>IF(A30="","",VLOOKUP(A30,'مکانیکی 95'!$A:$E,2,FALSE))</f>
        <v>لوله پلي‌اتيلن مشبك پنج لايه به قطر خارجي 16 ميليمتر.</v>
      </c>
      <c r="C30" s="582"/>
      <c r="D30" s="582"/>
      <c r="E30" s="582"/>
      <c r="F30" s="582"/>
      <c r="G30" s="582"/>
      <c r="H30" s="582"/>
      <c r="I30" s="583"/>
    </row>
    <row r="31" spans="1:9" ht="15" customHeight="1">
      <c r="A31" s="694"/>
      <c r="B31" s="691" t="s">
        <v>3083</v>
      </c>
      <c r="C31" s="53"/>
      <c r="D31" s="53"/>
      <c r="E31" s="54"/>
      <c r="F31" s="53"/>
      <c r="G31" s="692">
        <v>500</v>
      </c>
      <c r="H31" s="684"/>
      <c r="I31" s="685" t="s">
        <v>65</v>
      </c>
    </row>
    <row r="32" spans="1:9" ht="15" customHeight="1">
      <c r="A32" s="694"/>
      <c r="B32" s="691"/>
      <c r="C32" s="54"/>
      <c r="D32" s="54"/>
      <c r="E32" s="54"/>
      <c r="F32" s="54"/>
      <c r="G32" s="692"/>
      <c r="H32" s="684"/>
      <c r="I32" s="685"/>
    </row>
    <row r="33" spans="1:9" s="296" customFormat="1" ht="12" customHeight="1">
      <c r="A33" s="694"/>
      <c r="B33" s="565" t="s">
        <v>33</v>
      </c>
      <c r="C33" s="566"/>
      <c r="D33" s="566"/>
      <c r="E33" s="567"/>
      <c r="F33" s="299" t="str">
        <f>A30</f>
        <v>040201</v>
      </c>
      <c r="G33" s="414">
        <f>SUM(G31:G32)</f>
        <v>500</v>
      </c>
      <c r="H33" s="415"/>
      <c r="I33" s="302" t="str">
        <f>IF(F33="","",VLOOKUP(F33,'مکانیکی 95'!$A:$E,3,FALSE))</f>
        <v>مترطول</v>
      </c>
    </row>
    <row r="34" spans="1:9" ht="14.1" customHeight="1">
      <c r="A34" s="693" t="s">
        <v>509</v>
      </c>
      <c r="B34" s="581" t="str">
        <f>IF(A34="","",VLOOKUP(A34,'مکانیکی 95'!$A:$E,2,FALSE))</f>
        <v>لوله پلي‌اتيلن مشبك پنج لايه به قطر خارجي 20 ميليمتر.</v>
      </c>
      <c r="C34" s="582"/>
      <c r="D34" s="582"/>
      <c r="E34" s="582"/>
      <c r="F34" s="582"/>
      <c r="G34" s="582"/>
      <c r="H34" s="582"/>
      <c r="I34" s="583"/>
    </row>
    <row r="35" spans="1:9" ht="15" customHeight="1">
      <c r="A35" s="694"/>
      <c r="B35" s="691" t="s">
        <v>3084</v>
      </c>
      <c r="C35" s="53"/>
      <c r="D35" s="53"/>
      <c r="E35" s="54"/>
      <c r="F35" s="53"/>
      <c r="G35" s="692">
        <v>750</v>
      </c>
      <c r="H35" s="684"/>
      <c r="I35" s="685" t="s">
        <v>65</v>
      </c>
    </row>
    <row r="36" spans="1:9" ht="15" customHeight="1">
      <c r="A36" s="694"/>
      <c r="B36" s="691"/>
      <c r="C36" s="54"/>
      <c r="D36" s="54"/>
      <c r="E36" s="54"/>
      <c r="F36" s="54"/>
      <c r="G36" s="692"/>
      <c r="H36" s="684"/>
      <c r="I36" s="685"/>
    </row>
    <row r="37" spans="1:9" s="296" customFormat="1" ht="12" customHeight="1">
      <c r="A37" s="694"/>
      <c r="B37" s="565" t="s">
        <v>33</v>
      </c>
      <c r="C37" s="566"/>
      <c r="D37" s="566"/>
      <c r="E37" s="567"/>
      <c r="F37" s="299" t="str">
        <f>A34</f>
        <v>040202</v>
      </c>
      <c r="G37" s="414">
        <f>SUM(G35:G36)</f>
        <v>750</v>
      </c>
      <c r="H37" s="415"/>
      <c r="I37" s="302" t="str">
        <f>IF(F37="","",VLOOKUP(F37,'مکانیکی 95'!$A:$E,3,FALSE))</f>
        <v>مترطول</v>
      </c>
    </row>
    <row r="38" spans="1:9" ht="14.1" customHeight="1">
      <c r="A38" s="693" t="s">
        <v>147</v>
      </c>
      <c r="B38" s="581" t="str">
        <f>IF(A38="","",VLOOKUP(A38,'مکانیکی 95'!$A:$E,2,FALSE))</f>
        <v>لوله پلي‌اتيلن مشبك پنج لايه به قطر خارجي 25 ميليمتر.</v>
      </c>
      <c r="C38" s="582"/>
      <c r="D38" s="582"/>
      <c r="E38" s="582"/>
      <c r="F38" s="582"/>
      <c r="G38" s="582"/>
      <c r="H38" s="582"/>
      <c r="I38" s="583"/>
    </row>
    <row r="39" spans="1:9" ht="15" customHeight="1">
      <c r="A39" s="694"/>
      <c r="B39" s="691" t="s">
        <v>3085</v>
      </c>
      <c r="C39" s="53"/>
      <c r="D39" s="53"/>
      <c r="E39" s="54"/>
      <c r="F39" s="53"/>
      <c r="G39" s="692">
        <v>500</v>
      </c>
      <c r="H39" s="684"/>
      <c r="I39" s="685" t="s">
        <v>65</v>
      </c>
    </row>
    <row r="40" spans="1:9" ht="15" customHeight="1">
      <c r="A40" s="694"/>
      <c r="B40" s="691"/>
      <c r="C40" s="54"/>
      <c r="D40" s="54"/>
      <c r="E40" s="54"/>
      <c r="F40" s="54"/>
      <c r="G40" s="692"/>
      <c r="H40" s="684"/>
      <c r="I40" s="685"/>
    </row>
    <row r="41" spans="1:9" s="296" customFormat="1" ht="12" customHeight="1">
      <c r="A41" s="694"/>
      <c r="B41" s="565" t="s">
        <v>33</v>
      </c>
      <c r="C41" s="566"/>
      <c r="D41" s="566"/>
      <c r="E41" s="567"/>
      <c r="F41" s="299" t="str">
        <f>A38</f>
        <v>040203</v>
      </c>
      <c r="G41" s="414">
        <f>SUM(G39:G40)</f>
        <v>500</v>
      </c>
      <c r="H41" s="415"/>
      <c r="I41" s="302" t="str">
        <f>IF(F41="","",VLOOKUP(F41,'مکانیکی 95'!$A:$E,3,FALSE))</f>
        <v>مترطول</v>
      </c>
    </row>
    <row r="42" spans="1:9" ht="14.1" customHeight="1">
      <c r="A42" s="693" t="s">
        <v>511</v>
      </c>
      <c r="B42" s="581" t="str">
        <f>IF(A42="","",VLOOKUP(A42,'مکانیکی 95'!$A:$E,2,FALSE))</f>
        <v>لوله پلي‌اتيلن مشبك پنج لايه به قطر خارجي 32 ميليمتر.</v>
      </c>
      <c r="C42" s="582"/>
      <c r="D42" s="582"/>
      <c r="E42" s="582"/>
      <c r="F42" s="582"/>
      <c r="G42" s="582"/>
      <c r="H42" s="582"/>
      <c r="I42" s="583"/>
    </row>
    <row r="43" spans="1:9" ht="15" customHeight="1">
      <c r="A43" s="694"/>
      <c r="B43" s="691" t="s">
        <v>3085</v>
      </c>
      <c r="C43" s="53"/>
      <c r="D43" s="53"/>
      <c r="E43" s="54"/>
      <c r="F43" s="53"/>
      <c r="G43" s="692">
        <v>500</v>
      </c>
      <c r="H43" s="684"/>
      <c r="I43" s="685" t="s">
        <v>65</v>
      </c>
    </row>
    <row r="44" spans="1:9" ht="15" customHeight="1">
      <c r="A44" s="694"/>
      <c r="B44" s="691"/>
      <c r="C44" s="54"/>
      <c r="D44" s="54"/>
      <c r="E44" s="54"/>
      <c r="F44" s="54"/>
      <c r="G44" s="692"/>
      <c r="H44" s="684"/>
      <c r="I44" s="685"/>
    </row>
    <row r="45" spans="1:9" s="296" customFormat="1" ht="12" customHeight="1">
      <c r="A45" s="694"/>
      <c r="B45" s="565" t="s">
        <v>33</v>
      </c>
      <c r="C45" s="566"/>
      <c r="D45" s="566"/>
      <c r="E45" s="567"/>
      <c r="F45" s="299" t="str">
        <f>A42</f>
        <v>040204</v>
      </c>
      <c r="G45" s="414">
        <f>SUM(G43:G44)</f>
        <v>500</v>
      </c>
      <c r="H45" s="415"/>
      <c r="I45" s="302" t="str">
        <f>IF(F45="","",VLOOKUP(F45,'مکانیکی 95'!$A:$E,3,FALSE))</f>
        <v>مترطول</v>
      </c>
    </row>
    <row r="46" spans="1:9" ht="14.1" customHeight="1">
      <c r="A46" s="693" t="s">
        <v>3086</v>
      </c>
      <c r="B46" s="581" t="s">
        <v>3087</v>
      </c>
      <c r="C46" s="582"/>
      <c r="D46" s="582"/>
      <c r="E46" s="582"/>
      <c r="F46" s="582"/>
      <c r="G46" s="582"/>
      <c r="H46" s="582"/>
      <c r="I46" s="583"/>
    </row>
    <row r="47" spans="1:9" ht="15" customHeight="1">
      <c r="A47" s="694"/>
      <c r="B47" s="691" t="s">
        <v>3085</v>
      </c>
      <c r="C47" s="53"/>
      <c r="D47" s="53"/>
      <c r="E47" s="54"/>
      <c r="F47" s="53"/>
      <c r="G47" s="692">
        <f>G45+G41+G37+G33</f>
        <v>2250</v>
      </c>
      <c r="H47" s="684"/>
      <c r="I47" s="685" t="s">
        <v>65</v>
      </c>
    </row>
    <row r="48" spans="1:9" ht="15" customHeight="1">
      <c r="A48" s="694"/>
      <c r="B48" s="691"/>
      <c r="C48" s="54"/>
      <c r="D48" s="54"/>
      <c r="E48" s="54"/>
      <c r="F48" s="54"/>
      <c r="G48" s="692"/>
      <c r="H48" s="684"/>
      <c r="I48" s="685"/>
    </row>
    <row r="49" spans="1:9" s="296" customFormat="1" ht="12" customHeight="1">
      <c r="A49" s="694"/>
      <c r="B49" s="565" t="s">
        <v>33</v>
      </c>
      <c r="C49" s="566"/>
      <c r="D49" s="566"/>
      <c r="E49" s="567"/>
      <c r="F49" s="299" t="str">
        <f>A46</f>
        <v>*</v>
      </c>
      <c r="G49" s="414">
        <f>SUM(G47:G48)</f>
        <v>2250</v>
      </c>
      <c r="H49" s="415"/>
      <c r="I49" s="302" t="str">
        <f>IF(F49="","",VLOOKUP(F49,'مکانیکی 95'!$A:$E,3,FALSE))</f>
        <v>واحد</v>
      </c>
    </row>
    <row r="50" spans="1:9" ht="15" customHeight="1">
      <c r="A50" s="686" t="s">
        <v>3107</v>
      </c>
      <c r="B50" s="687"/>
      <c r="C50" s="687"/>
      <c r="D50" s="687"/>
      <c r="E50" s="687"/>
      <c r="F50" s="687"/>
      <c r="G50" s="687"/>
      <c r="H50" s="687"/>
      <c r="I50" s="688"/>
    </row>
    <row r="51" spans="1:9" ht="14.1" customHeight="1">
      <c r="A51" s="689">
        <v>190102</v>
      </c>
      <c r="B51" s="581" t="str">
        <f>IF(A51="","",VLOOKUP(A51,'مکانیکی 95'!$A:$E,2,FALSE))</f>
        <v>كانال هوا به ضخامت 0/6 ميليمتر.</v>
      </c>
      <c r="C51" s="582"/>
      <c r="D51" s="582"/>
      <c r="E51" s="582"/>
      <c r="F51" s="582"/>
      <c r="G51" s="582"/>
      <c r="H51" s="582"/>
      <c r="I51" s="583"/>
    </row>
    <row r="52" spans="1:9" ht="15" customHeight="1">
      <c r="A52" s="690"/>
      <c r="B52" s="691" t="s">
        <v>3108</v>
      </c>
      <c r="C52" s="53"/>
      <c r="D52" s="53"/>
      <c r="E52" s="54"/>
      <c r="F52" s="53"/>
      <c r="G52" s="692">
        <v>800</v>
      </c>
      <c r="H52" s="684"/>
      <c r="I52" s="685" t="s">
        <v>65</v>
      </c>
    </row>
    <row r="53" spans="1:9" ht="15" customHeight="1">
      <c r="A53" s="690"/>
      <c r="B53" s="691"/>
      <c r="C53" s="54"/>
      <c r="D53" s="54"/>
      <c r="E53" s="54"/>
      <c r="F53" s="54"/>
      <c r="G53" s="692"/>
      <c r="H53" s="684"/>
      <c r="I53" s="685"/>
    </row>
    <row r="54" spans="1:9" s="296" customFormat="1" ht="12" customHeight="1">
      <c r="A54" s="690"/>
      <c r="B54" s="565" t="s">
        <v>33</v>
      </c>
      <c r="C54" s="566"/>
      <c r="D54" s="566"/>
      <c r="E54" s="567"/>
      <c r="F54" s="299">
        <f>A51</f>
        <v>190102</v>
      </c>
      <c r="G54" s="414">
        <f>SUM(G52:G53)</f>
        <v>800</v>
      </c>
      <c r="H54" s="415"/>
      <c r="I54" s="302" t="str">
        <f>IF(F54="","",VLOOKUP(F54,'مکانیکی 95'!$A:$E,3,FALSE))</f>
        <v>مترمربع</v>
      </c>
    </row>
    <row r="55" spans="1:9" ht="15" customHeight="1">
      <c r="A55" s="686" t="s">
        <v>3063</v>
      </c>
      <c r="B55" s="687"/>
      <c r="C55" s="687"/>
      <c r="D55" s="687"/>
      <c r="E55" s="687"/>
      <c r="F55" s="687"/>
      <c r="G55" s="687"/>
      <c r="H55" s="687"/>
      <c r="I55" s="688"/>
    </row>
    <row r="56" spans="1:9" ht="14.1" customHeight="1">
      <c r="A56" s="689">
        <v>410601</v>
      </c>
      <c r="B56" s="581" t="str">
        <f>IF(A56="","",VLOOKUP(A56,'مکانیکی 95'!$A:$E,2,FALSE))</f>
        <v>لوله پي.وي.سي.</v>
      </c>
      <c r="C56" s="582"/>
      <c r="D56" s="582"/>
      <c r="E56" s="582"/>
      <c r="F56" s="582"/>
      <c r="G56" s="582"/>
      <c r="H56" s="582"/>
      <c r="I56" s="583"/>
    </row>
    <row r="57" spans="1:9" ht="15" customHeight="1">
      <c r="A57" s="690"/>
      <c r="B57" s="691" t="s">
        <v>3064</v>
      </c>
      <c r="C57" s="410">
        <v>200</v>
      </c>
      <c r="D57" s="55">
        <v>6</v>
      </c>
      <c r="E57" s="55">
        <v>1</v>
      </c>
      <c r="F57" s="53"/>
      <c r="G57" s="692">
        <f>E57*D57*C57</f>
        <v>1200</v>
      </c>
      <c r="H57" s="684"/>
      <c r="I57" s="685" t="s">
        <v>65</v>
      </c>
    </row>
    <row r="58" spans="1:9" ht="15" customHeight="1">
      <c r="A58" s="690"/>
      <c r="B58" s="691"/>
      <c r="C58" s="54"/>
      <c r="D58" s="54"/>
      <c r="E58" s="54"/>
      <c r="F58" s="54"/>
      <c r="G58" s="692"/>
      <c r="H58" s="684"/>
      <c r="I58" s="685"/>
    </row>
    <row r="59" spans="1:9" s="296" customFormat="1" ht="12" customHeight="1">
      <c r="A59" s="690"/>
      <c r="B59" s="565" t="s">
        <v>33</v>
      </c>
      <c r="C59" s="566"/>
      <c r="D59" s="566"/>
      <c r="E59" s="567"/>
      <c r="F59" s="299">
        <f>A56</f>
        <v>410601</v>
      </c>
      <c r="G59" s="404">
        <f>SUM(G57:G58)</f>
        <v>1200</v>
      </c>
      <c r="H59" s="405"/>
      <c r="I59" s="302" t="str">
        <f>IF(F59="","",VLOOKUP(F59,'مکانیکی 95'!$A:$E,3,FALSE))</f>
        <v>کيلوگرم</v>
      </c>
    </row>
  </sheetData>
  <mergeCells count="103">
    <mergeCell ref="A6:A7"/>
    <mergeCell ref="B6:B7"/>
    <mergeCell ref="C6:C7"/>
    <mergeCell ref="D6:F6"/>
    <mergeCell ref="G6:H6"/>
    <mergeCell ref="I6:I7"/>
    <mergeCell ref="A8:I8"/>
    <mergeCell ref="A9:A12"/>
    <mergeCell ref="B9:I9"/>
    <mergeCell ref="B10:B11"/>
    <mergeCell ref="G10:G11"/>
    <mergeCell ref="H10:H11"/>
    <mergeCell ref="I10:I11"/>
    <mergeCell ref="B12:E12"/>
    <mergeCell ref="A1:B2"/>
    <mergeCell ref="C1:G3"/>
    <mergeCell ref="H1:I1"/>
    <mergeCell ref="H2:I2"/>
    <mergeCell ref="A3:B3"/>
    <mergeCell ref="H3:I3"/>
    <mergeCell ref="C4:G5"/>
    <mergeCell ref="H4:I4"/>
    <mergeCell ref="H5:I5"/>
    <mergeCell ref="A56:A59"/>
    <mergeCell ref="B56:I56"/>
    <mergeCell ref="B57:B58"/>
    <mergeCell ref="G57:G58"/>
    <mergeCell ref="H57:H58"/>
    <mergeCell ref="I57:I58"/>
    <mergeCell ref="B59:E59"/>
    <mergeCell ref="A13:A16"/>
    <mergeCell ref="B13:I13"/>
    <mergeCell ref="B14:B15"/>
    <mergeCell ref="G14:G15"/>
    <mergeCell ref="H14:H15"/>
    <mergeCell ref="I14:I15"/>
    <mergeCell ref="B16:E16"/>
    <mergeCell ref="A21:A24"/>
    <mergeCell ref="B21:I21"/>
    <mergeCell ref="B22:B23"/>
    <mergeCell ref="G22:G23"/>
    <mergeCell ref="H22:H23"/>
    <mergeCell ref="I22:I23"/>
    <mergeCell ref="B24:E24"/>
    <mergeCell ref="A17:A20"/>
    <mergeCell ref="B17:I17"/>
    <mergeCell ref="G31:G32"/>
    <mergeCell ref="H31:H32"/>
    <mergeCell ref="I31:I32"/>
    <mergeCell ref="B33:E33"/>
    <mergeCell ref="A25:A28"/>
    <mergeCell ref="B25:I25"/>
    <mergeCell ref="B26:B27"/>
    <mergeCell ref="G26:G27"/>
    <mergeCell ref="A55:I55"/>
    <mergeCell ref="B45:E45"/>
    <mergeCell ref="A38:A41"/>
    <mergeCell ref="B38:I38"/>
    <mergeCell ref="B39:B40"/>
    <mergeCell ref="G39:G40"/>
    <mergeCell ref="H39:H40"/>
    <mergeCell ref="I39:I40"/>
    <mergeCell ref="B41:E41"/>
    <mergeCell ref="B18:B19"/>
    <mergeCell ref="G18:G19"/>
    <mergeCell ref="H18:H19"/>
    <mergeCell ref="I18:I19"/>
    <mergeCell ref="B20:E20"/>
    <mergeCell ref="A34:A37"/>
    <mergeCell ref="B34:I34"/>
    <mergeCell ref="B35:B36"/>
    <mergeCell ref="G35:G36"/>
    <mergeCell ref="H35:H36"/>
    <mergeCell ref="I35:I36"/>
    <mergeCell ref="B37:E37"/>
    <mergeCell ref="A29:I29"/>
    <mergeCell ref="A30:A33"/>
    <mergeCell ref="B30:I30"/>
    <mergeCell ref="B31:B32"/>
    <mergeCell ref="H26:H27"/>
    <mergeCell ref="I26:I27"/>
    <mergeCell ref="B28:E28"/>
    <mergeCell ref="A50:I50"/>
    <mergeCell ref="A51:A54"/>
    <mergeCell ref="B51:I51"/>
    <mergeCell ref="B52:B53"/>
    <mergeCell ref="G52:G53"/>
    <mergeCell ref="H52:H53"/>
    <mergeCell ref="I52:I53"/>
    <mergeCell ref="B54:E54"/>
    <mergeCell ref="A46:A49"/>
    <mergeCell ref="B46:I46"/>
    <mergeCell ref="B47:B48"/>
    <mergeCell ref="G47:G48"/>
    <mergeCell ref="H47:H48"/>
    <mergeCell ref="I47:I48"/>
    <mergeCell ref="B49:E49"/>
    <mergeCell ref="A42:A45"/>
    <mergeCell ref="B42:I42"/>
    <mergeCell ref="B43:B44"/>
    <mergeCell ref="G43:G44"/>
    <mergeCell ref="H43:H44"/>
    <mergeCell ref="I43:I44"/>
  </mergeCells>
  <printOptions horizontalCentered="1"/>
  <pageMargins left="0.19685039370078741" right="0.39370078740157483" top="0.19685039370078741" bottom="0.19685039370078741" header="0" footer="0"/>
  <pageSetup paperSize="9" scale="95" fitToHeight="9" orientation="portrait" r:id="rId1"/>
  <headerFooter alignWithMargins="0">
    <oddHeader>&amp;L&amp;"B Nazanin,Regular"&amp;P</oddHeader>
    <oddFooter>&amp;L&amp;"B Nazanin,Regular"&amp;11نماینده كارفرما    &amp;C&amp;"B Nazanin,Regular"&amp;11مشاور&amp;R&amp;"B Nazanin,Regular"&amp;11پيمانكار</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184"/>
  <sheetViews>
    <sheetView rightToLeft="1" workbookViewId="0">
      <selection activeCell="C22" sqref="C22"/>
    </sheetView>
  </sheetViews>
  <sheetFormatPr defaultColWidth="9" defaultRowHeight="13.8"/>
  <cols>
    <col min="1" max="1" width="11.109375" style="384" customWidth="1"/>
    <col min="2" max="2" width="50.5546875" style="384" customWidth="1"/>
    <col min="3" max="3" width="12.88671875" style="384" customWidth="1"/>
    <col min="4" max="4" width="19.5546875" style="391" customWidth="1"/>
    <col min="5" max="16384" width="9" style="384"/>
  </cols>
  <sheetData>
    <row r="1" spans="1:7">
      <c r="A1" s="236" t="s">
        <v>216</v>
      </c>
      <c r="B1" s="236" t="s">
        <v>217</v>
      </c>
      <c r="C1" s="236" t="s">
        <v>16</v>
      </c>
      <c r="D1" s="236" t="s">
        <v>218</v>
      </c>
    </row>
    <row r="2" spans="1:7" ht="15.6">
      <c r="A2" s="385" t="s">
        <v>219</v>
      </c>
      <c r="B2" s="386" t="s">
        <v>1843</v>
      </c>
      <c r="C2" s="386" t="s">
        <v>242</v>
      </c>
      <c r="D2" s="387">
        <v>128000</v>
      </c>
      <c r="G2" s="388"/>
    </row>
    <row r="3" spans="1:7" ht="15.6">
      <c r="A3" s="385" t="s">
        <v>1844</v>
      </c>
      <c r="B3" s="386" t="s">
        <v>1845</v>
      </c>
      <c r="C3" s="386" t="s">
        <v>242</v>
      </c>
      <c r="D3" s="387">
        <v>150500</v>
      </c>
      <c r="G3" s="388"/>
    </row>
    <row r="4" spans="1:7" ht="15.6">
      <c r="A4" s="385" t="s">
        <v>1846</v>
      </c>
      <c r="B4" s="386" t="s">
        <v>1847</v>
      </c>
      <c r="C4" s="386" t="s">
        <v>242</v>
      </c>
      <c r="D4" s="387">
        <v>174000</v>
      </c>
      <c r="G4" s="388"/>
    </row>
    <row r="5" spans="1:7" ht="15.6">
      <c r="A5" s="385" t="s">
        <v>1848</v>
      </c>
      <c r="B5" s="386" t="s">
        <v>1849</v>
      </c>
      <c r="C5" s="386" t="s">
        <v>242</v>
      </c>
      <c r="D5" s="387">
        <v>214000</v>
      </c>
      <c r="G5" s="388"/>
    </row>
    <row r="6" spans="1:7" ht="15.6">
      <c r="A6" s="385" t="s">
        <v>1850</v>
      </c>
      <c r="B6" s="386" t="s">
        <v>1851</v>
      </c>
      <c r="C6" s="386" t="s">
        <v>242</v>
      </c>
      <c r="D6" s="387">
        <v>250000</v>
      </c>
      <c r="G6" s="388"/>
    </row>
    <row r="7" spans="1:7" ht="15.6">
      <c r="A7" s="385" t="s">
        <v>1852</v>
      </c>
      <c r="B7" s="386" t="s">
        <v>1853</v>
      </c>
      <c r="C7" s="386" t="s">
        <v>242</v>
      </c>
      <c r="D7" s="387">
        <v>311000</v>
      </c>
      <c r="G7" s="388"/>
    </row>
    <row r="8" spans="1:7" ht="15.6">
      <c r="A8" s="385" t="s">
        <v>1854</v>
      </c>
      <c r="B8" s="386" t="s">
        <v>1855</v>
      </c>
      <c r="C8" s="386" t="s">
        <v>242</v>
      </c>
      <c r="D8" s="387">
        <v>355500</v>
      </c>
      <c r="G8" s="388"/>
    </row>
    <row r="9" spans="1:7" ht="15.6">
      <c r="A9" s="385" t="s">
        <v>1856</v>
      </c>
      <c r="B9" s="386" t="s">
        <v>1857</v>
      </c>
      <c r="C9" s="386" t="s">
        <v>242</v>
      </c>
      <c r="D9" s="387">
        <v>476000</v>
      </c>
      <c r="G9" s="388"/>
    </row>
    <row r="10" spans="1:7" ht="15.6">
      <c r="A10" s="385" t="s">
        <v>1858</v>
      </c>
      <c r="B10" s="386" t="s">
        <v>1859</v>
      </c>
      <c r="C10" s="386" t="s">
        <v>242</v>
      </c>
      <c r="D10" s="387">
        <v>595500</v>
      </c>
      <c r="G10" s="388"/>
    </row>
    <row r="11" spans="1:7" ht="15.6">
      <c r="A11" s="385" t="s">
        <v>221</v>
      </c>
      <c r="B11" s="386" t="s">
        <v>1860</v>
      </c>
      <c r="C11" s="386" t="s">
        <v>242</v>
      </c>
      <c r="D11" s="387">
        <v>694500</v>
      </c>
      <c r="G11" s="388"/>
    </row>
    <row r="12" spans="1:7" ht="15.6">
      <c r="A12" s="385" t="s">
        <v>224</v>
      </c>
      <c r="B12" s="386" t="s">
        <v>1861</v>
      </c>
      <c r="C12" s="386" t="s">
        <v>242</v>
      </c>
      <c r="D12" s="387">
        <v>856500</v>
      </c>
      <c r="G12" s="388"/>
    </row>
    <row r="13" spans="1:7" ht="15.6">
      <c r="A13" s="385" t="s">
        <v>226</v>
      </c>
      <c r="B13" s="386" t="s">
        <v>1862</v>
      </c>
      <c r="C13" s="386" t="s">
        <v>242</v>
      </c>
      <c r="D13" s="387">
        <v>1130000</v>
      </c>
      <c r="G13" s="388"/>
    </row>
    <row r="14" spans="1:7" ht="15.6">
      <c r="A14" s="385" t="s">
        <v>228</v>
      </c>
      <c r="B14" s="386" t="s">
        <v>1863</v>
      </c>
      <c r="C14" s="386" t="s">
        <v>242</v>
      </c>
      <c r="D14" s="387">
        <v>1545000</v>
      </c>
      <c r="G14" s="388"/>
    </row>
    <row r="15" spans="1:7" ht="15.6">
      <c r="A15" s="385" t="s">
        <v>230</v>
      </c>
      <c r="B15" s="386" t="s">
        <v>1864</v>
      </c>
      <c r="C15" s="386" t="s">
        <v>242</v>
      </c>
      <c r="D15" s="387">
        <v>1475000</v>
      </c>
      <c r="G15" s="388"/>
    </row>
    <row r="16" spans="1:7" ht="15.6">
      <c r="A16" s="385" t="s">
        <v>1865</v>
      </c>
      <c r="B16" s="386" t="s">
        <v>1866</v>
      </c>
      <c r="C16" s="386" t="s">
        <v>242</v>
      </c>
      <c r="D16" s="387">
        <v>1855000</v>
      </c>
      <c r="G16" s="388"/>
    </row>
    <row r="17" spans="1:7" ht="27.6">
      <c r="A17" s="385" t="s">
        <v>240</v>
      </c>
      <c r="B17" s="386" t="s">
        <v>1867</v>
      </c>
      <c r="C17" s="386" t="s">
        <v>242</v>
      </c>
      <c r="D17" s="387">
        <v>135000</v>
      </c>
      <c r="G17" s="388"/>
    </row>
    <row r="18" spans="1:7" ht="27.6">
      <c r="A18" s="385" t="s">
        <v>243</v>
      </c>
      <c r="B18" s="386" t="s">
        <v>1868</v>
      </c>
      <c r="C18" s="386" t="s">
        <v>242</v>
      </c>
      <c r="D18" s="387">
        <v>148500</v>
      </c>
      <c r="G18" s="388"/>
    </row>
    <row r="19" spans="1:7" ht="27.6">
      <c r="A19" s="385" t="s">
        <v>245</v>
      </c>
      <c r="B19" s="386" t="s">
        <v>1869</v>
      </c>
      <c r="C19" s="386" t="s">
        <v>242</v>
      </c>
      <c r="D19" s="387">
        <v>164500</v>
      </c>
      <c r="G19" s="388"/>
    </row>
    <row r="20" spans="1:7" ht="27.6">
      <c r="A20" s="385" t="s">
        <v>247</v>
      </c>
      <c r="B20" s="386" t="s">
        <v>1870</v>
      </c>
      <c r="C20" s="386" t="s">
        <v>242</v>
      </c>
      <c r="D20" s="387">
        <v>192000</v>
      </c>
      <c r="G20" s="388"/>
    </row>
    <row r="21" spans="1:7" ht="27.6">
      <c r="A21" s="385" t="s">
        <v>249</v>
      </c>
      <c r="B21" s="386" t="s">
        <v>1871</v>
      </c>
      <c r="C21" s="386" t="s">
        <v>242</v>
      </c>
      <c r="D21" s="387">
        <v>238500</v>
      </c>
      <c r="G21" s="388"/>
    </row>
    <row r="22" spans="1:7" ht="27.6">
      <c r="A22" s="385" t="s">
        <v>251</v>
      </c>
      <c r="B22" s="386" t="s">
        <v>1872</v>
      </c>
      <c r="C22" s="386" t="s">
        <v>242</v>
      </c>
      <c r="D22" s="387">
        <v>284000</v>
      </c>
      <c r="G22" s="388"/>
    </row>
    <row r="23" spans="1:7" ht="27.6">
      <c r="A23" s="385" t="s">
        <v>253</v>
      </c>
      <c r="B23" s="386" t="s">
        <v>1873</v>
      </c>
      <c r="C23" s="386" t="s">
        <v>242</v>
      </c>
      <c r="D23" s="387">
        <v>353500</v>
      </c>
      <c r="G23" s="388"/>
    </row>
    <row r="24" spans="1:7" ht="27.6">
      <c r="A24" s="385" t="s">
        <v>255</v>
      </c>
      <c r="B24" s="386" t="s">
        <v>1874</v>
      </c>
      <c r="C24" s="386" t="s">
        <v>242</v>
      </c>
      <c r="D24" s="387">
        <v>410500</v>
      </c>
      <c r="G24" s="388"/>
    </row>
    <row r="25" spans="1:7" ht="27.6">
      <c r="A25" s="385" t="s">
        <v>257</v>
      </c>
      <c r="B25" s="386" t="s">
        <v>1875</v>
      </c>
      <c r="C25" s="386" t="s">
        <v>242</v>
      </c>
      <c r="D25" s="387">
        <v>558000</v>
      </c>
      <c r="G25" s="388"/>
    </row>
    <row r="26" spans="1:7" ht="27.6">
      <c r="A26" s="385" t="s">
        <v>259</v>
      </c>
      <c r="B26" s="386" t="s">
        <v>1876</v>
      </c>
      <c r="C26" s="386" t="s">
        <v>242</v>
      </c>
      <c r="D26" s="387">
        <v>714500</v>
      </c>
      <c r="G26" s="388"/>
    </row>
    <row r="27" spans="1:7" ht="27.6">
      <c r="A27" s="385" t="s">
        <v>261</v>
      </c>
      <c r="B27" s="386" t="s">
        <v>1877</v>
      </c>
      <c r="C27" s="386" t="s">
        <v>242</v>
      </c>
      <c r="D27" s="387">
        <v>835000</v>
      </c>
      <c r="G27" s="388"/>
    </row>
    <row r="28" spans="1:7" ht="27.6">
      <c r="A28" s="385" t="s">
        <v>263</v>
      </c>
      <c r="B28" s="386" t="s">
        <v>1878</v>
      </c>
      <c r="C28" s="386" t="s">
        <v>242</v>
      </c>
      <c r="D28" s="387">
        <v>1183000</v>
      </c>
      <c r="G28" s="388"/>
    </row>
    <row r="29" spans="1:7" ht="27.6">
      <c r="A29" s="385" t="s">
        <v>1879</v>
      </c>
      <c r="B29" s="386" t="s">
        <v>1880</v>
      </c>
      <c r="C29" s="386" t="s">
        <v>242</v>
      </c>
      <c r="D29" s="387">
        <v>1469000</v>
      </c>
      <c r="G29" s="388"/>
    </row>
    <row r="30" spans="1:7" ht="27.6">
      <c r="A30" s="385" t="s">
        <v>1881</v>
      </c>
      <c r="B30" s="386" t="s">
        <v>1882</v>
      </c>
      <c r="C30" s="386" t="s">
        <v>242</v>
      </c>
      <c r="D30" s="387">
        <v>2004000</v>
      </c>
      <c r="G30" s="388"/>
    </row>
    <row r="31" spans="1:7" ht="27.6">
      <c r="A31" s="385" t="s">
        <v>1883</v>
      </c>
      <c r="B31" s="386" t="s">
        <v>1884</v>
      </c>
      <c r="C31" s="386" t="s">
        <v>242</v>
      </c>
      <c r="D31" s="387">
        <v>2170000</v>
      </c>
      <c r="G31" s="388"/>
    </row>
    <row r="32" spans="1:7" ht="27.6">
      <c r="A32" s="385" t="s">
        <v>1885</v>
      </c>
      <c r="B32" s="386" t="s">
        <v>1886</v>
      </c>
      <c r="C32" s="386" t="s">
        <v>242</v>
      </c>
      <c r="D32" s="387">
        <v>2702000</v>
      </c>
      <c r="G32" s="388"/>
    </row>
    <row r="33" spans="1:7" ht="15.6">
      <c r="A33" s="385" t="s">
        <v>265</v>
      </c>
      <c r="B33" s="386" t="s">
        <v>1887</v>
      </c>
      <c r="C33" s="386" t="s">
        <v>242</v>
      </c>
      <c r="D33" s="387">
        <v>147500</v>
      </c>
      <c r="G33" s="388"/>
    </row>
    <row r="34" spans="1:7" ht="15.6">
      <c r="A34" s="385" t="s">
        <v>267</v>
      </c>
      <c r="B34" s="386" t="s">
        <v>1888</v>
      </c>
      <c r="C34" s="386" t="s">
        <v>242</v>
      </c>
      <c r="D34" s="387">
        <v>164000</v>
      </c>
      <c r="G34" s="388"/>
    </row>
    <row r="35" spans="1:7" ht="15.6">
      <c r="A35" s="385" t="s">
        <v>1889</v>
      </c>
      <c r="B35" s="386" t="s">
        <v>1890</v>
      </c>
      <c r="C35" s="386" t="s">
        <v>242</v>
      </c>
      <c r="D35" s="387">
        <v>181000</v>
      </c>
      <c r="G35" s="388"/>
    </row>
    <row r="36" spans="1:7" ht="15.6">
      <c r="A36" s="385" t="s">
        <v>1891</v>
      </c>
      <c r="B36" s="386" t="s">
        <v>1892</v>
      </c>
      <c r="C36" s="386" t="s">
        <v>242</v>
      </c>
      <c r="D36" s="387">
        <v>203000</v>
      </c>
      <c r="G36" s="388"/>
    </row>
    <row r="37" spans="1:7" ht="15.6">
      <c r="A37" s="385" t="s">
        <v>1893</v>
      </c>
      <c r="B37" s="386" t="s">
        <v>1894</v>
      </c>
      <c r="C37" s="386" t="s">
        <v>242</v>
      </c>
      <c r="D37" s="387">
        <v>276000</v>
      </c>
      <c r="G37" s="388"/>
    </row>
    <row r="38" spans="1:7" ht="15.6">
      <c r="A38" s="385" t="s">
        <v>1895</v>
      </c>
      <c r="B38" s="386" t="s">
        <v>1896</v>
      </c>
      <c r="C38" s="386" t="s">
        <v>242</v>
      </c>
      <c r="D38" s="387">
        <v>321000</v>
      </c>
      <c r="G38" s="388"/>
    </row>
    <row r="39" spans="1:7" ht="15.6">
      <c r="A39" s="385" t="s">
        <v>1897</v>
      </c>
      <c r="B39" s="386" t="s">
        <v>1898</v>
      </c>
      <c r="C39" s="386" t="s">
        <v>242</v>
      </c>
      <c r="D39" s="387">
        <v>395500</v>
      </c>
      <c r="G39" s="388"/>
    </row>
    <row r="40" spans="1:7" ht="15.6">
      <c r="A40" s="385" t="s">
        <v>1899</v>
      </c>
      <c r="B40" s="386" t="s">
        <v>1900</v>
      </c>
      <c r="C40" s="386" t="s">
        <v>242</v>
      </c>
      <c r="D40" s="387">
        <v>465000</v>
      </c>
      <c r="G40" s="388"/>
    </row>
    <row r="41" spans="1:7" ht="15.6">
      <c r="A41" s="385" t="s">
        <v>1901</v>
      </c>
      <c r="B41" s="386" t="s">
        <v>1902</v>
      </c>
      <c r="C41" s="386" t="s">
        <v>242</v>
      </c>
      <c r="D41" s="387">
        <v>702000</v>
      </c>
      <c r="G41" s="388"/>
    </row>
    <row r="42" spans="1:7" ht="15.6">
      <c r="A42" s="385" t="s">
        <v>1903</v>
      </c>
      <c r="B42" s="386" t="s">
        <v>1904</v>
      </c>
      <c r="C42" s="386" t="s">
        <v>242</v>
      </c>
      <c r="D42" s="387">
        <v>865000</v>
      </c>
      <c r="G42" s="388"/>
    </row>
    <row r="43" spans="1:7" ht="15.6">
      <c r="A43" s="385" t="s">
        <v>1905</v>
      </c>
      <c r="B43" s="386" t="s">
        <v>1906</v>
      </c>
      <c r="C43" s="386" t="s">
        <v>242</v>
      </c>
      <c r="D43" s="387"/>
      <c r="G43" s="388"/>
    </row>
    <row r="44" spans="1:7" ht="27.6">
      <c r="A44" s="385" t="s">
        <v>269</v>
      </c>
      <c r="B44" s="386" t="s">
        <v>1907</v>
      </c>
      <c r="C44" s="386" t="s">
        <v>335</v>
      </c>
      <c r="D44" s="387">
        <v>73200</v>
      </c>
      <c r="G44" s="388"/>
    </row>
    <row r="45" spans="1:7" ht="27.6">
      <c r="A45" s="385" t="s">
        <v>271</v>
      </c>
      <c r="B45" s="386" t="s">
        <v>1908</v>
      </c>
      <c r="C45" s="386" t="s">
        <v>335</v>
      </c>
      <c r="D45" s="387">
        <v>83600</v>
      </c>
      <c r="G45" s="388"/>
    </row>
    <row r="46" spans="1:7" ht="15.6">
      <c r="A46" s="385" t="s">
        <v>285</v>
      </c>
      <c r="B46" s="386" t="s">
        <v>1909</v>
      </c>
      <c r="C46" s="386" t="s">
        <v>335</v>
      </c>
      <c r="D46" s="387"/>
      <c r="G46" s="388"/>
    </row>
    <row r="47" spans="1:7" ht="15.6">
      <c r="A47" s="385" t="s">
        <v>315</v>
      </c>
      <c r="B47" s="386" t="s">
        <v>1910</v>
      </c>
      <c r="C47" s="386" t="s">
        <v>335</v>
      </c>
      <c r="D47" s="387"/>
      <c r="G47" s="388"/>
    </row>
    <row r="48" spans="1:7" ht="15.6">
      <c r="A48" s="385" t="s">
        <v>388</v>
      </c>
      <c r="B48" s="386" t="s">
        <v>1911</v>
      </c>
      <c r="C48" s="386" t="s">
        <v>242</v>
      </c>
      <c r="D48" s="387">
        <v>643500</v>
      </c>
      <c r="G48" s="388"/>
    </row>
    <row r="49" spans="1:7" ht="15.6">
      <c r="A49" s="385" t="s">
        <v>190</v>
      </c>
      <c r="B49" s="386" t="s">
        <v>1912</v>
      </c>
      <c r="C49" s="386" t="s">
        <v>242</v>
      </c>
      <c r="D49" s="387">
        <v>892500</v>
      </c>
      <c r="G49" s="388"/>
    </row>
    <row r="50" spans="1:7" ht="15.6">
      <c r="A50" s="385" t="s">
        <v>106</v>
      </c>
      <c r="B50" s="386" t="s">
        <v>1913</v>
      </c>
      <c r="C50" s="386" t="s">
        <v>242</v>
      </c>
      <c r="D50" s="387">
        <v>1143000</v>
      </c>
      <c r="G50" s="388"/>
    </row>
    <row r="51" spans="1:7" ht="15.6">
      <c r="A51" s="385" t="s">
        <v>134</v>
      </c>
      <c r="B51" s="386" t="s">
        <v>1914</v>
      </c>
      <c r="C51" s="386" t="s">
        <v>242</v>
      </c>
      <c r="D51" s="387">
        <v>1028000</v>
      </c>
      <c r="G51" s="388"/>
    </row>
    <row r="52" spans="1:7" ht="15.6">
      <c r="A52" s="385" t="s">
        <v>1915</v>
      </c>
      <c r="B52" s="386" t="s">
        <v>1916</v>
      </c>
      <c r="C52" s="386" t="s">
        <v>242</v>
      </c>
      <c r="D52" s="387">
        <v>1151000</v>
      </c>
      <c r="G52" s="388"/>
    </row>
    <row r="53" spans="1:7" ht="15.6">
      <c r="A53" s="385" t="s">
        <v>1917</v>
      </c>
      <c r="B53" s="386" t="s">
        <v>1918</v>
      </c>
      <c r="C53" s="386" t="s">
        <v>242</v>
      </c>
      <c r="D53" s="387">
        <v>1516000</v>
      </c>
      <c r="G53" s="388"/>
    </row>
    <row r="54" spans="1:7" ht="15.6">
      <c r="A54" s="385" t="s">
        <v>429</v>
      </c>
      <c r="B54" s="386" t="s">
        <v>1919</v>
      </c>
      <c r="C54" s="386" t="s">
        <v>242</v>
      </c>
      <c r="D54" s="387">
        <v>44500</v>
      </c>
      <c r="G54" s="388"/>
    </row>
    <row r="55" spans="1:7" ht="15.6">
      <c r="A55" s="385" t="s">
        <v>1920</v>
      </c>
      <c r="B55" s="386" t="s">
        <v>1921</v>
      </c>
      <c r="C55" s="386" t="s">
        <v>242</v>
      </c>
      <c r="D55" s="387">
        <v>49200</v>
      </c>
      <c r="G55" s="388"/>
    </row>
    <row r="56" spans="1:7" ht="15.6">
      <c r="A56" s="385" t="s">
        <v>1838</v>
      </c>
      <c r="B56" s="386" t="s">
        <v>1922</v>
      </c>
      <c r="C56" s="386" t="s">
        <v>242</v>
      </c>
      <c r="D56" s="387">
        <v>64700</v>
      </c>
      <c r="G56" s="388"/>
    </row>
    <row r="57" spans="1:7" ht="15.6">
      <c r="A57" s="385" t="s">
        <v>1923</v>
      </c>
      <c r="B57" s="386" t="s">
        <v>1924</v>
      </c>
      <c r="C57" s="386" t="s">
        <v>242</v>
      </c>
      <c r="D57" s="387">
        <v>74200</v>
      </c>
      <c r="G57" s="388"/>
    </row>
    <row r="58" spans="1:7" ht="15.6">
      <c r="A58" s="385" t="s">
        <v>1839</v>
      </c>
      <c r="B58" s="386" t="s">
        <v>1925</v>
      </c>
      <c r="C58" s="386" t="s">
        <v>242</v>
      </c>
      <c r="D58" s="387">
        <v>91400</v>
      </c>
      <c r="G58" s="388"/>
    </row>
    <row r="59" spans="1:7" ht="15.6">
      <c r="A59" s="385" t="s">
        <v>1840</v>
      </c>
      <c r="B59" s="386" t="s">
        <v>1926</v>
      </c>
      <c r="C59" s="386" t="s">
        <v>242</v>
      </c>
      <c r="D59" s="387">
        <v>114500</v>
      </c>
      <c r="G59" s="388"/>
    </row>
    <row r="60" spans="1:7" ht="15.6">
      <c r="A60" s="385" t="s">
        <v>1927</v>
      </c>
      <c r="B60" s="386" t="s">
        <v>1928</v>
      </c>
      <c r="C60" s="386" t="s">
        <v>242</v>
      </c>
      <c r="D60" s="387">
        <v>139000</v>
      </c>
      <c r="G60" s="388"/>
    </row>
    <row r="61" spans="1:7" ht="15.6">
      <c r="A61" s="385" t="s">
        <v>1929</v>
      </c>
      <c r="B61" s="386" t="s">
        <v>1930</v>
      </c>
      <c r="C61" s="386" t="s">
        <v>242</v>
      </c>
      <c r="D61" s="387">
        <v>174500</v>
      </c>
      <c r="G61" s="388"/>
    </row>
    <row r="62" spans="1:7" ht="15.6">
      <c r="A62" s="385" t="s">
        <v>1931</v>
      </c>
      <c r="B62" s="386" t="s">
        <v>1932</v>
      </c>
      <c r="C62" s="386" t="s">
        <v>242</v>
      </c>
      <c r="D62" s="387">
        <v>214500</v>
      </c>
      <c r="G62" s="388"/>
    </row>
    <row r="63" spans="1:7" ht="15.6">
      <c r="A63" s="385" t="s">
        <v>1933</v>
      </c>
      <c r="B63" s="386" t="s">
        <v>1934</v>
      </c>
      <c r="C63" s="386" t="s">
        <v>242</v>
      </c>
      <c r="D63" s="387">
        <v>262000</v>
      </c>
      <c r="G63" s="388"/>
    </row>
    <row r="64" spans="1:7" ht="15.6">
      <c r="A64" s="385" t="s">
        <v>1935</v>
      </c>
      <c r="B64" s="386" t="s">
        <v>1936</v>
      </c>
      <c r="C64" s="386" t="s">
        <v>242</v>
      </c>
      <c r="D64" s="387">
        <v>315000</v>
      </c>
      <c r="G64" s="388"/>
    </row>
    <row r="65" spans="1:7" ht="15.6">
      <c r="A65" s="385" t="s">
        <v>1937</v>
      </c>
      <c r="B65" s="386" t="s">
        <v>1938</v>
      </c>
      <c r="C65" s="386" t="s">
        <v>242</v>
      </c>
      <c r="D65" s="387">
        <v>482500</v>
      </c>
      <c r="G65" s="388"/>
    </row>
    <row r="66" spans="1:7" ht="15.6">
      <c r="A66" s="385" t="s">
        <v>431</v>
      </c>
      <c r="B66" s="386" t="s">
        <v>1939</v>
      </c>
      <c r="C66" s="386" t="s">
        <v>242</v>
      </c>
      <c r="D66" s="387">
        <v>66500</v>
      </c>
      <c r="G66" s="388"/>
    </row>
    <row r="67" spans="1:7" ht="15.6">
      <c r="A67" s="385" t="s">
        <v>433</v>
      </c>
      <c r="B67" s="386" t="s">
        <v>1940</v>
      </c>
      <c r="C67" s="386" t="s">
        <v>242</v>
      </c>
      <c r="D67" s="387">
        <v>78400</v>
      </c>
      <c r="G67" s="388"/>
    </row>
    <row r="68" spans="1:7" ht="15.6">
      <c r="A68" s="385" t="s">
        <v>435</v>
      </c>
      <c r="B68" s="386" t="s">
        <v>1941</v>
      </c>
      <c r="C68" s="386" t="s">
        <v>242</v>
      </c>
      <c r="D68" s="387">
        <v>94200</v>
      </c>
      <c r="G68" s="388"/>
    </row>
    <row r="69" spans="1:7" ht="15.6">
      <c r="A69" s="385" t="s">
        <v>437</v>
      </c>
      <c r="B69" s="386" t="s">
        <v>1942</v>
      </c>
      <c r="C69" s="386" t="s">
        <v>242</v>
      </c>
      <c r="D69" s="387">
        <v>107500</v>
      </c>
      <c r="G69" s="388"/>
    </row>
    <row r="70" spans="1:7" ht="15.6">
      <c r="A70" s="385" t="s">
        <v>1943</v>
      </c>
      <c r="B70" s="386" t="s">
        <v>1944</v>
      </c>
      <c r="C70" s="386" t="s">
        <v>242</v>
      </c>
      <c r="D70" s="387">
        <v>124000</v>
      </c>
      <c r="G70" s="388"/>
    </row>
    <row r="71" spans="1:7" ht="15.6">
      <c r="A71" s="385" t="s">
        <v>1945</v>
      </c>
      <c r="B71" s="386" t="s">
        <v>1946</v>
      </c>
      <c r="C71" s="386" t="s">
        <v>242</v>
      </c>
      <c r="D71" s="387">
        <v>155500</v>
      </c>
      <c r="G71" s="388"/>
    </row>
    <row r="72" spans="1:7" ht="15.6">
      <c r="A72" s="385" t="s">
        <v>1947</v>
      </c>
      <c r="B72" s="386" t="s">
        <v>1948</v>
      </c>
      <c r="C72" s="386" t="s">
        <v>242</v>
      </c>
      <c r="D72" s="387">
        <v>207000</v>
      </c>
      <c r="G72" s="388"/>
    </row>
    <row r="73" spans="1:7" ht="15.6">
      <c r="A73" s="385" t="s">
        <v>1949</v>
      </c>
      <c r="B73" s="386" t="s">
        <v>1950</v>
      </c>
      <c r="C73" s="386" t="s">
        <v>242</v>
      </c>
      <c r="D73" s="387">
        <v>229500</v>
      </c>
      <c r="G73" s="388"/>
    </row>
    <row r="74" spans="1:7" ht="15.6">
      <c r="A74" s="385" t="s">
        <v>1951</v>
      </c>
      <c r="B74" s="386" t="s">
        <v>1952</v>
      </c>
      <c r="C74" s="386" t="s">
        <v>242</v>
      </c>
      <c r="D74" s="387">
        <v>360500</v>
      </c>
      <c r="G74" s="388"/>
    </row>
    <row r="75" spans="1:7" ht="15.6">
      <c r="A75" s="385" t="s">
        <v>439</v>
      </c>
      <c r="B75" s="386" t="s">
        <v>1953</v>
      </c>
      <c r="C75" s="386" t="s">
        <v>242</v>
      </c>
      <c r="D75" s="387">
        <v>82500</v>
      </c>
      <c r="G75" s="388"/>
    </row>
    <row r="76" spans="1:7" ht="15.6">
      <c r="A76" s="385" t="s">
        <v>99</v>
      </c>
      <c r="B76" s="386" t="s">
        <v>1954</v>
      </c>
      <c r="C76" s="386" t="s">
        <v>242</v>
      </c>
      <c r="D76" s="387">
        <v>94600</v>
      </c>
      <c r="G76" s="388"/>
    </row>
    <row r="77" spans="1:7" ht="15.6">
      <c r="A77" s="385" t="s">
        <v>442</v>
      </c>
      <c r="B77" s="386" t="s">
        <v>1955</v>
      </c>
      <c r="C77" s="386" t="s">
        <v>242</v>
      </c>
      <c r="D77" s="387">
        <v>135500</v>
      </c>
      <c r="G77" s="388"/>
    </row>
    <row r="78" spans="1:7" ht="15.6">
      <c r="A78" s="385" t="s">
        <v>100</v>
      </c>
      <c r="B78" s="386" t="s">
        <v>1956</v>
      </c>
      <c r="C78" s="386" t="s">
        <v>242</v>
      </c>
      <c r="D78" s="387">
        <v>245500</v>
      </c>
      <c r="G78" s="388"/>
    </row>
    <row r="79" spans="1:7" ht="15.6">
      <c r="A79" s="385" t="s">
        <v>1957</v>
      </c>
      <c r="B79" s="386" t="s">
        <v>1958</v>
      </c>
      <c r="C79" s="386" t="s">
        <v>242</v>
      </c>
      <c r="D79" s="387">
        <v>298000</v>
      </c>
      <c r="G79" s="388"/>
    </row>
    <row r="80" spans="1:7" ht="15.6">
      <c r="A80" s="385" t="s">
        <v>1959</v>
      </c>
      <c r="B80" s="386" t="s">
        <v>1960</v>
      </c>
      <c r="C80" s="386" t="s">
        <v>242</v>
      </c>
      <c r="D80" s="387">
        <v>490500</v>
      </c>
      <c r="G80" s="388"/>
    </row>
    <row r="81" spans="1:7" ht="15.6">
      <c r="A81" s="385" t="s">
        <v>497</v>
      </c>
      <c r="B81" s="386" t="s">
        <v>1961</v>
      </c>
      <c r="C81" s="386" t="s">
        <v>242</v>
      </c>
      <c r="D81" s="387"/>
      <c r="G81" s="388"/>
    </row>
    <row r="82" spans="1:7" ht="15.6">
      <c r="A82" s="385" t="s">
        <v>178</v>
      </c>
      <c r="B82" s="386" t="s">
        <v>1962</v>
      </c>
      <c r="C82" s="386" t="s">
        <v>242</v>
      </c>
      <c r="D82" s="387"/>
      <c r="G82" s="388"/>
    </row>
    <row r="83" spans="1:7" ht="15.6">
      <c r="A83" s="385" t="s">
        <v>499</v>
      </c>
      <c r="B83" s="386" t="s">
        <v>1963</v>
      </c>
      <c r="C83" s="386" t="s">
        <v>242</v>
      </c>
      <c r="D83" s="387"/>
      <c r="G83" s="388"/>
    </row>
    <row r="84" spans="1:7" ht="15.6">
      <c r="A84" s="385" t="s">
        <v>501</v>
      </c>
      <c r="B84" s="386" t="s">
        <v>1964</v>
      </c>
      <c r="C84" s="386" t="s">
        <v>242</v>
      </c>
      <c r="D84" s="387"/>
      <c r="G84" s="388"/>
    </row>
    <row r="85" spans="1:7" ht="15.6">
      <c r="A85" s="385" t="s">
        <v>507</v>
      </c>
      <c r="B85" s="386" t="s">
        <v>1965</v>
      </c>
      <c r="C85" s="386" t="s">
        <v>242</v>
      </c>
      <c r="D85" s="387">
        <v>81200</v>
      </c>
      <c r="G85" s="388"/>
    </row>
    <row r="86" spans="1:7" ht="15.6">
      <c r="A86" s="385" t="s">
        <v>509</v>
      </c>
      <c r="B86" s="386" t="s">
        <v>1966</v>
      </c>
      <c r="C86" s="386" t="s">
        <v>242</v>
      </c>
      <c r="D86" s="387">
        <v>86400</v>
      </c>
      <c r="G86" s="388"/>
    </row>
    <row r="87" spans="1:7" ht="15.6">
      <c r="A87" s="385" t="s">
        <v>147</v>
      </c>
      <c r="B87" s="386" t="s">
        <v>1967</v>
      </c>
      <c r="C87" s="386" t="s">
        <v>242</v>
      </c>
      <c r="D87" s="387">
        <v>116500</v>
      </c>
      <c r="G87" s="388"/>
    </row>
    <row r="88" spans="1:7" ht="15.6">
      <c r="A88" s="385" t="s">
        <v>511</v>
      </c>
      <c r="B88" s="386" t="s">
        <v>1968</v>
      </c>
      <c r="C88" s="386" t="s">
        <v>242</v>
      </c>
      <c r="D88" s="387">
        <v>146000</v>
      </c>
      <c r="G88" s="388"/>
    </row>
    <row r="89" spans="1:7" ht="15.6">
      <c r="A89" s="385" t="s">
        <v>539</v>
      </c>
      <c r="B89" s="386" t="s">
        <v>1969</v>
      </c>
      <c r="C89" s="386" t="s">
        <v>242</v>
      </c>
      <c r="D89" s="387">
        <v>89100</v>
      </c>
      <c r="G89" s="388"/>
    </row>
    <row r="90" spans="1:7" ht="15.6">
      <c r="A90" s="385" t="s">
        <v>541</v>
      </c>
      <c r="B90" s="386" t="s">
        <v>1970</v>
      </c>
      <c r="C90" s="386" t="s">
        <v>242</v>
      </c>
      <c r="D90" s="387">
        <v>107000</v>
      </c>
      <c r="G90" s="388"/>
    </row>
    <row r="91" spans="1:7" ht="15.6">
      <c r="A91" s="385" t="s">
        <v>1971</v>
      </c>
      <c r="B91" s="386" t="s">
        <v>1972</v>
      </c>
      <c r="C91" s="386" t="s">
        <v>242</v>
      </c>
      <c r="D91" s="387">
        <v>124000</v>
      </c>
      <c r="G91" s="388"/>
    </row>
    <row r="92" spans="1:7" ht="15.6">
      <c r="A92" s="385" t="s">
        <v>1973</v>
      </c>
      <c r="B92" s="386" t="s">
        <v>1974</v>
      </c>
      <c r="C92" s="386" t="s">
        <v>242</v>
      </c>
      <c r="D92" s="387">
        <v>154500</v>
      </c>
      <c r="G92" s="388"/>
    </row>
    <row r="93" spans="1:7" ht="27.6">
      <c r="A93" s="385" t="s">
        <v>5</v>
      </c>
      <c r="B93" s="386" t="s">
        <v>1975</v>
      </c>
      <c r="C93" s="386" t="s">
        <v>242</v>
      </c>
      <c r="D93" s="387">
        <v>138500</v>
      </c>
      <c r="G93" s="388"/>
    </row>
    <row r="94" spans="1:7" ht="27.6">
      <c r="A94" s="385" t="s">
        <v>628</v>
      </c>
      <c r="B94" s="386" t="s">
        <v>1976</v>
      </c>
      <c r="C94" s="386" t="s">
        <v>242</v>
      </c>
      <c r="D94" s="387">
        <v>171500</v>
      </c>
      <c r="G94" s="388"/>
    </row>
    <row r="95" spans="1:7" ht="27.6">
      <c r="A95" s="385" t="s">
        <v>1977</v>
      </c>
      <c r="B95" s="386" t="s">
        <v>1978</v>
      </c>
      <c r="C95" s="386" t="s">
        <v>242</v>
      </c>
      <c r="D95" s="387">
        <v>198000</v>
      </c>
      <c r="G95" s="388"/>
    </row>
    <row r="96" spans="1:7" ht="27.6">
      <c r="A96" s="385" t="s">
        <v>1979</v>
      </c>
      <c r="B96" s="386" t="s">
        <v>1980</v>
      </c>
      <c r="C96" s="386" t="s">
        <v>242</v>
      </c>
      <c r="D96" s="387">
        <v>241500</v>
      </c>
      <c r="G96" s="388"/>
    </row>
    <row r="97" spans="1:7" ht="27.6">
      <c r="A97" s="385" t="s">
        <v>1981</v>
      </c>
      <c r="B97" s="386" t="s">
        <v>1982</v>
      </c>
      <c r="C97" s="386" t="s">
        <v>242</v>
      </c>
      <c r="D97" s="387">
        <v>380500</v>
      </c>
      <c r="G97" s="388"/>
    </row>
    <row r="98" spans="1:7" ht="27.6">
      <c r="A98" s="385" t="s">
        <v>1983</v>
      </c>
      <c r="B98" s="386" t="s">
        <v>1984</v>
      </c>
      <c r="C98" s="386" t="s">
        <v>242</v>
      </c>
      <c r="D98" s="387">
        <v>419500</v>
      </c>
      <c r="G98" s="388"/>
    </row>
    <row r="99" spans="1:7" ht="27.6">
      <c r="A99" s="385" t="s">
        <v>1985</v>
      </c>
      <c r="B99" s="386" t="s">
        <v>1986</v>
      </c>
      <c r="C99" s="386" t="s">
        <v>242</v>
      </c>
      <c r="D99" s="387">
        <v>514500</v>
      </c>
      <c r="G99" s="388"/>
    </row>
    <row r="100" spans="1:7" ht="27.6">
      <c r="A100" s="385" t="s">
        <v>1987</v>
      </c>
      <c r="B100" s="386" t="s">
        <v>1988</v>
      </c>
      <c r="C100" s="386" t="s">
        <v>242</v>
      </c>
      <c r="D100" s="387">
        <v>781500</v>
      </c>
      <c r="G100" s="388"/>
    </row>
    <row r="101" spans="1:7" ht="27.6">
      <c r="A101" s="385" t="s">
        <v>1989</v>
      </c>
      <c r="B101" s="386" t="s">
        <v>1990</v>
      </c>
      <c r="C101" s="386" t="s">
        <v>242</v>
      </c>
      <c r="D101" s="387">
        <v>951000</v>
      </c>
      <c r="G101" s="388"/>
    </row>
    <row r="102" spans="1:7" ht="27.6">
      <c r="A102" s="385" t="s">
        <v>1991</v>
      </c>
      <c r="B102" s="386" t="s">
        <v>1992</v>
      </c>
      <c r="C102" s="386" t="s">
        <v>242</v>
      </c>
      <c r="D102" s="387">
        <v>1162000</v>
      </c>
      <c r="G102" s="388"/>
    </row>
    <row r="103" spans="1:7" ht="15.6">
      <c r="A103" s="385" t="s">
        <v>166</v>
      </c>
      <c r="B103" s="386" t="s">
        <v>1993</v>
      </c>
      <c r="C103" s="386" t="s">
        <v>161</v>
      </c>
      <c r="D103" s="387">
        <v>235000</v>
      </c>
      <c r="G103" s="388"/>
    </row>
    <row r="104" spans="1:7" ht="15.6">
      <c r="A104" s="385" t="s">
        <v>695</v>
      </c>
      <c r="B104" s="386" t="s">
        <v>1994</v>
      </c>
      <c r="C104" s="386" t="s">
        <v>161</v>
      </c>
      <c r="D104" s="387">
        <v>457000</v>
      </c>
      <c r="G104" s="388"/>
    </row>
    <row r="105" spans="1:7" ht="15.6">
      <c r="A105" s="385" t="s">
        <v>697</v>
      </c>
      <c r="B105" s="386" t="s">
        <v>1995</v>
      </c>
      <c r="C105" s="386" t="s">
        <v>161</v>
      </c>
      <c r="D105" s="387">
        <v>487000</v>
      </c>
      <c r="G105" s="388"/>
    </row>
    <row r="106" spans="1:7" ht="15.6">
      <c r="A106" s="385" t="s">
        <v>1996</v>
      </c>
      <c r="B106" s="386" t="s">
        <v>1997</v>
      </c>
      <c r="C106" s="386" t="s">
        <v>161</v>
      </c>
      <c r="D106" s="387">
        <v>612500</v>
      </c>
      <c r="G106" s="388"/>
    </row>
    <row r="107" spans="1:7" ht="15.6">
      <c r="A107" s="385" t="s">
        <v>1998</v>
      </c>
      <c r="B107" s="386" t="s">
        <v>1999</v>
      </c>
      <c r="C107" s="386" t="s">
        <v>161</v>
      </c>
      <c r="D107" s="387">
        <v>766500</v>
      </c>
      <c r="G107" s="388"/>
    </row>
    <row r="108" spans="1:7" ht="15.6">
      <c r="A108" s="385" t="s">
        <v>2000</v>
      </c>
      <c r="B108" s="386" t="s">
        <v>2001</v>
      </c>
      <c r="C108" s="386" t="s">
        <v>161</v>
      </c>
      <c r="D108" s="387">
        <v>1436000</v>
      </c>
      <c r="G108" s="388"/>
    </row>
    <row r="109" spans="1:7" ht="15.6">
      <c r="A109" s="385" t="s">
        <v>2002</v>
      </c>
      <c r="B109" s="386" t="s">
        <v>2003</v>
      </c>
      <c r="C109" s="386" t="s">
        <v>161</v>
      </c>
      <c r="D109" s="387">
        <v>2235000</v>
      </c>
      <c r="G109" s="388"/>
    </row>
    <row r="110" spans="1:7" ht="15.6">
      <c r="A110" s="385" t="s">
        <v>2004</v>
      </c>
      <c r="B110" s="386" t="s">
        <v>2005</v>
      </c>
      <c r="C110" s="386" t="s">
        <v>161</v>
      </c>
      <c r="D110" s="387">
        <v>3065000</v>
      </c>
      <c r="G110" s="388"/>
    </row>
    <row r="111" spans="1:7" ht="15.6">
      <c r="A111" s="385" t="s">
        <v>2006</v>
      </c>
      <c r="B111" s="386" t="s">
        <v>2007</v>
      </c>
      <c r="C111" s="386" t="s">
        <v>161</v>
      </c>
      <c r="D111" s="387">
        <v>5648000</v>
      </c>
      <c r="G111" s="388"/>
    </row>
    <row r="112" spans="1:7" ht="15.6">
      <c r="A112" s="385" t="s">
        <v>137</v>
      </c>
      <c r="B112" s="386" t="s">
        <v>2008</v>
      </c>
      <c r="C112" s="386" t="s">
        <v>161</v>
      </c>
      <c r="D112" s="387">
        <v>333000</v>
      </c>
      <c r="G112" s="388"/>
    </row>
    <row r="113" spans="1:7" ht="15.6">
      <c r="A113" s="385" t="s">
        <v>700</v>
      </c>
      <c r="B113" s="386" t="s">
        <v>2009</v>
      </c>
      <c r="C113" s="386" t="s">
        <v>161</v>
      </c>
      <c r="D113" s="387">
        <v>411500</v>
      </c>
      <c r="G113" s="388"/>
    </row>
    <row r="114" spans="1:7" ht="15.6">
      <c r="A114" s="385" t="s">
        <v>702</v>
      </c>
      <c r="B114" s="386" t="s">
        <v>2010</v>
      </c>
      <c r="C114" s="386" t="s">
        <v>161</v>
      </c>
      <c r="D114" s="387">
        <v>770000</v>
      </c>
      <c r="G114" s="388"/>
    </row>
    <row r="115" spans="1:7" ht="15.6">
      <c r="A115" s="385" t="s">
        <v>167</v>
      </c>
      <c r="B115" s="386" t="s">
        <v>2011</v>
      </c>
      <c r="C115" s="386" t="s">
        <v>161</v>
      </c>
      <c r="D115" s="387">
        <v>971000</v>
      </c>
      <c r="G115" s="388"/>
    </row>
    <row r="116" spans="1:7" ht="15.6">
      <c r="A116" s="385" t="s">
        <v>110</v>
      </c>
      <c r="B116" s="386" t="s">
        <v>2012</v>
      </c>
      <c r="C116" s="386" t="s">
        <v>161</v>
      </c>
      <c r="D116" s="387">
        <v>1099000</v>
      </c>
      <c r="G116" s="388"/>
    </row>
    <row r="117" spans="1:7" ht="15.6">
      <c r="A117" s="385" t="s">
        <v>138</v>
      </c>
      <c r="B117" s="386" t="s">
        <v>2013</v>
      </c>
      <c r="C117" s="386" t="s">
        <v>161</v>
      </c>
      <c r="D117" s="387">
        <v>1770000</v>
      </c>
      <c r="G117" s="388"/>
    </row>
    <row r="118" spans="1:7" ht="15.6">
      <c r="A118" s="385" t="s">
        <v>2014</v>
      </c>
      <c r="B118" s="386" t="s">
        <v>2015</v>
      </c>
      <c r="C118" s="386" t="s">
        <v>161</v>
      </c>
      <c r="D118" s="387">
        <v>4558000</v>
      </c>
      <c r="G118" s="388"/>
    </row>
    <row r="119" spans="1:7" ht="15.6">
      <c r="A119" s="385" t="s">
        <v>707</v>
      </c>
      <c r="B119" s="386" t="s">
        <v>2016</v>
      </c>
      <c r="C119" s="386" t="s">
        <v>161</v>
      </c>
      <c r="D119" s="387">
        <v>6297000</v>
      </c>
      <c r="G119" s="388"/>
    </row>
    <row r="120" spans="1:7" ht="15.6">
      <c r="A120" s="385" t="s">
        <v>709</v>
      </c>
      <c r="B120" s="386" t="s">
        <v>2017</v>
      </c>
      <c r="C120" s="386" t="s">
        <v>161</v>
      </c>
      <c r="D120" s="387">
        <v>10597000</v>
      </c>
      <c r="G120" s="388"/>
    </row>
    <row r="121" spans="1:7" ht="15.6">
      <c r="A121" s="385" t="s">
        <v>168</v>
      </c>
      <c r="B121" s="386" t="s">
        <v>2018</v>
      </c>
      <c r="C121" s="386" t="s">
        <v>161</v>
      </c>
      <c r="D121" s="387">
        <v>260500</v>
      </c>
      <c r="G121" s="388"/>
    </row>
    <row r="122" spans="1:7" ht="15.6">
      <c r="A122" s="385" t="s">
        <v>712</v>
      </c>
      <c r="B122" s="386" t="s">
        <v>2019</v>
      </c>
      <c r="C122" s="386" t="s">
        <v>161</v>
      </c>
      <c r="D122" s="387">
        <v>315500</v>
      </c>
      <c r="G122" s="388"/>
    </row>
    <row r="123" spans="1:7" ht="15.6">
      <c r="A123" s="385" t="s">
        <v>2020</v>
      </c>
      <c r="B123" s="386" t="s">
        <v>2021</v>
      </c>
      <c r="C123" s="386" t="s">
        <v>161</v>
      </c>
      <c r="D123" s="387">
        <v>482000</v>
      </c>
      <c r="G123" s="388"/>
    </row>
    <row r="124" spans="1:7" ht="15.6">
      <c r="A124" s="385" t="s">
        <v>2022</v>
      </c>
      <c r="B124" s="386" t="s">
        <v>2023</v>
      </c>
      <c r="C124" s="386" t="s">
        <v>161</v>
      </c>
      <c r="D124" s="387">
        <v>607500</v>
      </c>
      <c r="G124" s="388"/>
    </row>
    <row r="125" spans="1:7" ht="15.6">
      <c r="A125" s="385" t="s">
        <v>2024</v>
      </c>
      <c r="B125" s="386" t="s">
        <v>2025</v>
      </c>
      <c r="C125" s="386" t="s">
        <v>161</v>
      </c>
      <c r="D125" s="387">
        <v>867500</v>
      </c>
      <c r="G125" s="388"/>
    </row>
    <row r="126" spans="1:7" ht="15.6">
      <c r="A126" s="385" t="s">
        <v>2026</v>
      </c>
      <c r="B126" s="386" t="s">
        <v>2027</v>
      </c>
      <c r="C126" s="386" t="s">
        <v>161</v>
      </c>
      <c r="D126" s="387">
        <v>1305000</v>
      </c>
      <c r="G126" s="388"/>
    </row>
    <row r="127" spans="1:7" ht="15.6">
      <c r="A127" s="385" t="s">
        <v>2028</v>
      </c>
      <c r="B127" s="386" t="s">
        <v>2029</v>
      </c>
      <c r="C127" s="386" t="s">
        <v>161</v>
      </c>
      <c r="D127" s="387">
        <v>2437000</v>
      </c>
      <c r="G127" s="388"/>
    </row>
    <row r="128" spans="1:7" ht="15.6">
      <c r="A128" s="385" t="s">
        <v>2030</v>
      </c>
      <c r="B128" s="386" t="s">
        <v>2031</v>
      </c>
      <c r="C128" s="386" t="s">
        <v>161</v>
      </c>
      <c r="D128" s="387">
        <v>3166000</v>
      </c>
      <c r="G128" s="388"/>
    </row>
    <row r="129" spans="1:7" ht="15.6">
      <c r="A129" s="385" t="s">
        <v>2032</v>
      </c>
      <c r="B129" s="386" t="s">
        <v>2033</v>
      </c>
      <c r="C129" s="386" t="s">
        <v>161</v>
      </c>
      <c r="D129" s="387">
        <v>5101000</v>
      </c>
      <c r="G129" s="388"/>
    </row>
    <row r="130" spans="1:7" ht="15.6">
      <c r="A130" s="385" t="s">
        <v>714</v>
      </c>
      <c r="B130" s="386" t="s">
        <v>2034</v>
      </c>
      <c r="C130" s="386" t="s">
        <v>161</v>
      </c>
      <c r="D130" s="387">
        <v>2869000</v>
      </c>
      <c r="G130" s="388"/>
    </row>
    <row r="131" spans="1:7" ht="15.6">
      <c r="A131" s="385" t="s">
        <v>2035</v>
      </c>
      <c r="B131" s="386" t="s">
        <v>2036</v>
      </c>
      <c r="C131" s="386" t="s">
        <v>161</v>
      </c>
      <c r="D131" s="387">
        <v>3298000</v>
      </c>
      <c r="G131" s="388"/>
    </row>
    <row r="132" spans="1:7" ht="15.6">
      <c r="A132" s="385" t="s">
        <v>2037</v>
      </c>
      <c r="B132" s="386" t="s">
        <v>2038</v>
      </c>
      <c r="C132" s="386" t="s">
        <v>161</v>
      </c>
      <c r="D132" s="387">
        <v>3862000</v>
      </c>
      <c r="G132" s="388"/>
    </row>
    <row r="133" spans="1:7" ht="15.6">
      <c r="A133" s="385" t="s">
        <v>2039</v>
      </c>
      <c r="B133" s="386" t="s">
        <v>2040</v>
      </c>
      <c r="C133" s="386" t="s">
        <v>161</v>
      </c>
      <c r="D133" s="387">
        <v>4554000</v>
      </c>
      <c r="G133" s="388"/>
    </row>
    <row r="134" spans="1:7" ht="15.6">
      <c r="A134" s="385" t="s">
        <v>2041</v>
      </c>
      <c r="B134" s="386" t="s">
        <v>2042</v>
      </c>
      <c r="C134" s="386" t="s">
        <v>161</v>
      </c>
      <c r="D134" s="387">
        <v>6036000</v>
      </c>
      <c r="G134" s="388"/>
    </row>
    <row r="135" spans="1:7" ht="15.6">
      <c r="A135" s="385" t="s">
        <v>2043</v>
      </c>
      <c r="B135" s="386" t="s">
        <v>2044</v>
      </c>
      <c r="C135" s="386" t="s">
        <v>161</v>
      </c>
      <c r="D135" s="387">
        <v>7553000</v>
      </c>
      <c r="G135" s="388"/>
    </row>
    <row r="136" spans="1:7" ht="15.6">
      <c r="A136" s="385" t="s">
        <v>2045</v>
      </c>
      <c r="B136" s="386" t="s">
        <v>2046</v>
      </c>
      <c r="C136" s="386" t="s">
        <v>161</v>
      </c>
      <c r="D136" s="387">
        <v>11666000</v>
      </c>
      <c r="G136" s="388"/>
    </row>
    <row r="137" spans="1:7" ht="15.6">
      <c r="A137" s="385" t="s">
        <v>2047</v>
      </c>
      <c r="B137" s="386" t="s">
        <v>2048</v>
      </c>
      <c r="C137" s="386" t="s">
        <v>161</v>
      </c>
      <c r="D137" s="387">
        <v>18862000</v>
      </c>
      <c r="G137" s="388"/>
    </row>
    <row r="138" spans="1:7" ht="15.6">
      <c r="A138" s="385" t="s">
        <v>2049</v>
      </c>
      <c r="B138" s="386" t="s">
        <v>2050</v>
      </c>
      <c r="C138" s="386" t="s">
        <v>161</v>
      </c>
      <c r="D138" s="387">
        <v>25788000</v>
      </c>
      <c r="G138" s="388"/>
    </row>
    <row r="139" spans="1:7" ht="15.6">
      <c r="A139" s="385" t="s">
        <v>2051</v>
      </c>
      <c r="B139" s="386" t="s">
        <v>2052</v>
      </c>
      <c r="C139" s="386" t="s">
        <v>161</v>
      </c>
      <c r="D139" s="387">
        <v>44216000</v>
      </c>
      <c r="G139" s="388"/>
    </row>
    <row r="140" spans="1:7" ht="15.6">
      <c r="A140" s="385" t="s">
        <v>2053</v>
      </c>
      <c r="B140" s="386" t="s">
        <v>2054</v>
      </c>
      <c r="C140" s="386" t="s">
        <v>161</v>
      </c>
      <c r="D140" s="387">
        <v>49530000</v>
      </c>
      <c r="G140" s="388"/>
    </row>
    <row r="141" spans="1:7" ht="15.6">
      <c r="A141" s="385" t="s">
        <v>716</v>
      </c>
      <c r="B141" s="386" t="s">
        <v>2055</v>
      </c>
      <c r="C141" s="386" t="s">
        <v>161</v>
      </c>
      <c r="D141" s="387">
        <v>3786000</v>
      </c>
      <c r="G141" s="388"/>
    </row>
    <row r="142" spans="1:7" ht="15.6">
      <c r="A142" s="385" t="s">
        <v>718</v>
      </c>
      <c r="B142" s="386" t="s">
        <v>2056</v>
      </c>
      <c r="C142" s="386" t="s">
        <v>161</v>
      </c>
      <c r="D142" s="387">
        <v>4793000</v>
      </c>
      <c r="G142" s="388"/>
    </row>
    <row r="143" spans="1:7" ht="15.6">
      <c r="A143" s="385" t="s">
        <v>720</v>
      </c>
      <c r="B143" s="386" t="s">
        <v>2057</v>
      </c>
      <c r="C143" s="386" t="s">
        <v>161</v>
      </c>
      <c r="D143" s="387">
        <v>6076000</v>
      </c>
      <c r="G143" s="388"/>
    </row>
    <row r="144" spans="1:7" ht="15.6">
      <c r="A144" s="385" t="s">
        <v>722</v>
      </c>
      <c r="B144" s="386" t="s">
        <v>2058</v>
      </c>
      <c r="C144" s="386" t="s">
        <v>161</v>
      </c>
      <c r="D144" s="387">
        <v>6860000</v>
      </c>
      <c r="G144" s="388"/>
    </row>
    <row r="145" spans="1:7" ht="15.6">
      <c r="A145" s="385" t="s">
        <v>724</v>
      </c>
      <c r="B145" s="386" t="s">
        <v>2059</v>
      </c>
      <c r="C145" s="386" t="s">
        <v>161</v>
      </c>
      <c r="D145" s="387">
        <v>10231000</v>
      </c>
      <c r="G145" s="388"/>
    </row>
    <row r="146" spans="1:7" ht="15.6">
      <c r="A146" s="385" t="s">
        <v>726</v>
      </c>
      <c r="B146" s="386" t="s">
        <v>2060</v>
      </c>
      <c r="C146" s="386" t="s">
        <v>161</v>
      </c>
      <c r="D146" s="387">
        <v>13380000</v>
      </c>
      <c r="G146" s="388"/>
    </row>
    <row r="147" spans="1:7" ht="15.6">
      <c r="A147" s="385" t="s">
        <v>728</v>
      </c>
      <c r="B147" s="386" t="s">
        <v>2061</v>
      </c>
      <c r="C147" s="386" t="s">
        <v>161</v>
      </c>
      <c r="D147" s="387">
        <v>19873000</v>
      </c>
      <c r="G147" s="388"/>
    </row>
    <row r="148" spans="1:7" ht="15.6">
      <c r="A148" s="385" t="s">
        <v>2062</v>
      </c>
      <c r="B148" s="386" t="s">
        <v>2063</v>
      </c>
      <c r="C148" s="386" t="s">
        <v>161</v>
      </c>
      <c r="D148" s="387">
        <v>36649000</v>
      </c>
      <c r="G148" s="388"/>
    </row>
    <row r="149" spans="1:7" ht="15.6">
      <c r="A149" s="385" t="s">
        <v>2064</v>
      </c>
      <c r="B149" s="386" t="s">
        <v>2065</v>
      </c>
      <c r="C149" s="386" t="s">
        <v>161</v>
      </c>
      <c r="D149" s="387">
        <v>69622000</v>
      </c>
      <c r="G149" s="388"/>
    </row>
    <row r="150" spans="1:7" ht="15.6">
      <c r="A150" s="385" t="s">
        <v>2066</v>
      </c>
      <c r="B150" s="386" t="s">
        <v>2067</v>
      </c>
      <c r="C150" s="386" t="s">
        <v>161</v>
      </c>
      <c r="D150" s="387">
        <v>81340000</v>
      </c>
      <c r="G150" s="388"/>
    </row>
    <row r="151" spans="1:7" ht="15.6">
      <c r="A151" s="385" t="s">
        <v>2068</v>
      </c>
      <c r="B151" s="386" t="s">
        <v>2069</v>
      </c>
      <c r="C151" s="386" t="s">
        <v>161</v>
      </c>
      <c r="D151" s="387">
        <v>79363000</v>
      </c>
      <c r="G151" s="388"/>
    </row>
    <row r="152" spans="1:7" ht="15.6">
      <c r="A152" s="385" t="s">
        <v>730</v>
      </c>
      <c r="B152" s="386" t="s">
        <v>2070</v>
      </c>
      <c r="C152" s="386" t="s">
        <v>161</v>
      </c>
      <c r="D152" s="387">
        <v>2443000</v>
      </c>
      <c r="G152" s="388"/>
    </row>
    <row r="153" spans="1:7" ht="15.6">
      <c r="A153" s="385" t="s">
        <v>732</v>
      </c>
      <c r="B153" s="386" t="s">
        <v>2071</v>
      </c>
      <c r="C153" s="386" t="s">
        <v>161</v>
      </c>
      <c r="D153" s="387">
        <v>3399000</v>
      </c>
      <c r="G153" s="388"/>
    </row>
    <row r="154" spans="1:7" ht="15.6">
      <c r="A154" s="385" t="s">
        <v>734</v>
      </c>
      <c r="B154" s="386" t="s">
        <v>2072</v>
      </c>
      <c r="C154" s="386" t="s">
        <v>161</v>
      </c>
      <c r="D154" s="387">
        <v>4126000</v>
      </c>
      <c r="G154" s="388"/>
    </row>
    <row r="155" spans="1:7" ht="15.6">
      <c r="A155" s="385" t="s">
        <v>736</v>
      </c>
      <c r="B155" s="386" t="s">
        <v>2073</v>
      </c>
      <c r="C155" s="386" t="s">
        <v>161</v>
      </c>
      <c r="D155" s="387">
        <v>4739000</v>
      </c>
      <c r="G155" s="388"/>
    </row>
    <row r="156" spans="1:7" ht="15.6">
      <c r="A156" s="385" t="s">
        <v>738</v>
      </c>
      <c r="B156" s="386" t="s">
        <v>2074</v>
      </c>
      <c r="C156" s="386" t="s">
        <v>161</v>
      </c>
      <c r="D156" s="387">
        <v>6272000</v>
      </c>
      <c r="G156" s="388"/>
    </row>
    <row r="157" spans="1:7" ht="15.6">
      <c r="A157" s="385" t="s">
        <v>2075</v>
      </c>
      <c r="B157" s="386" t="s">
        <v>2076</v>
      </c>
      <c r="C157" s="386" t="s">
        <v>161</v>
      </c>
      <c r="D157" s="387">
        <v>8108000</v>
      </c>
      <c r="G157" s="388"/>
    </row>
    <row r="158" spans="1:7" ht="15.6">
      <c r="A158" s="385" t="s">
        <v>2077</v>
      </c>
      <c r="B158" s="386" t="s">
        <v>2078</v>
      </c>
      <c r="C158" s="386" t="s">
        <v>161</v>
      </c>
      <c r="D158" s="387">
        <v>13530000</v>
      </c>
      <c r="G158" s="388"/>
    </row>
    <row r="159" spans="1:7" ht="15.6">
      <c r="A159" s="385" t="s">
        <v>2079</v>
      </c>
      <c r="B159" s="386" t="s">
        <v>2080</v>
      </c>
      <c r="C159" s="386" t="s">
        <v>161</v>
      </c>
      <c r="D159" s="387">
        <v>20927000</v>
      </c>
      <c r="G159" s="388"/>
    </row>
    <row r="160" spans="1:7" ht="15.6">
      <c r="A160" s="385" t="s">
        <v>2081</v>
      </c>
      <c r="B160" s="386" t="s">
        <v>2082</v>
      </c>
      <c r="C160" s="386" t="s">
        <v>161</v>
      </c>
      <c r="D160" s="387">
        <v>29155000</v>
      </c>
      <c r="G160" s="388"/>
    </row>
    <row r="161" spans="1:7" ht="15.6">
      <c r="A161" s="385" t="s">
        <v>2083</v>
      </c>
      <c r="B161" s="386" t="s">
        <v>2084</v>
      </c>
      <c r="C161" s="386" t="s">
        <v>161</v>
      </c>
      <c r="D161" s="387">
        <v>40725000</v>
      </c>
      <c r="G161" s="388"/>
    </row>
    <row r="162" spans="1:7" ht="15.6">
      <c r="A162" s="385" t="s">
        <v>2085</v>
      </c>
      <c r="B162" s="386" t="s">
        <v>2086</v>
      </c>
      <c r="C162" s="386" t="s">
        <v>161</v>
      </c>
      <c r="D162" s="387">
        <v>44667000</v>
      </c>
      <c r="G162" s="388"/>
    </row>
    <row r="163" spans="1:7" ht="15.6">
      <c r="A163" s="385" t="s">
        <v>2087</v>
      </c>
      <c r="B163" s="386" t="s">
        <v>2088</v>
      </c>
      <c r="C163" s="386" t="s">
        <v>161</v>
      </c>
      <c r="D163" s="387">
        <v>232500</v>
      </c>
      <c r="G163" s="388"/>
    </row>
    <row r="164" spans="1:7" ht="15.6">
      <c r="A164" s="385" t="s">
        <v>2089</v>
      </c>
      <c r="B164" s="386" t="s">
        <v>2090</v>
      </c>
      <c r="C164" s="386" t="s">
        <v>161</v>
      </c>
      <c r="D164" s="387">
        <v>329500</v>
      </c>
      <c r="G164" s="388"/>
    </row>
    <row r="165" spans="1:7" ht="15.6">
      <c r="A165" s="385" t="s">
        <v>2091</v>
      </c>
      <c r="B165" s="386" t="s">
        <v>2092</v>
      </c>
      <c r="C165" s="386" t="s">
        <v>161</v>
      </c>
      <c r="D165" s="387">
        <v>158500</v>
      </c>
      <c r="G165" s="388"/>
    </row>
    <row r="166" spans="1:7" ht="15.6">
      <c r="A166" s="385" t="s">
        <v>2093</v>
      </c>
      <c r="B166" s="386" t="s">
        <v>2094</v>
      </c>
      <c r="C166" s="386" t="s">
        <v>161</v>
      </c>
      <c r="D166" s="387">
        <v>211000</v>
      </c>
      <c r="G166" s="388"/>
    </row>
    <row r="167" spans="1:7" ht="15.6">
      <c r="A167" s="385" t="s">
        <v>2095</v>
      </c>
      <c r="B167" s="386" t="s">
        <v>2096</v>
      </c>
      <c r="C167" s="386" t="s">
        <v>161</v>
      </c>
      <c r="D167" s="387">
        <v>129000</v>
      </c>
      <c r="G167" s="388"/>
    </row>
    <row r="168" spans="1:7" ht="15.6">
      <c r="A168" s="385" t="s">
        <v>2097</v>
      </c>
      <c r="B168" s="386" t="s">
        <v>2098</v>
      </c>
      <c r="C168" s="386" t="s">
        <v>161</v>
      </c>
      <c r="D168" s="387">
        <v>141500</v>
      </c>
      <c r="G168" s="388"/>
    </row>
    <row r="169" spans="1:7" ht="15.6">
      <c r="A169" s="385" t="s">
        <v>2099</v>
      </c>
      <c r="B169" s="386" t="s">
        <v>2100</v>
      </c>
      <c r="C169" s="386" t="s">
        <v>161</v>
      </c>
      <c r="D169" s="387">
        <v>139500</v>
      </c>
      <c r="G169" s="388"/>
    </row>
    <row r="170" spans="1:7" ht="15.6">
      <c r="A170" s="385" t="s">
        <v>2101</v>
      </c>
      <c r="B170" s="386" t="s">
        <v>2102</v>
      </c>
      <c r="C170" s="386" t="s">
        <v>161</v>
      </c>
      <c r="D170" s="387">
        <v>191500</v>
      </c>
      <c r="G170" s="388"/>
    </row>
    <row r="171" spans="1:7" ht="15.6">
      <c r="A171" s="385" t="s">
        <v>2103</v>
      </c>
      <c r="B171" s="386" t="s">
        <v>2104</v>
      </c>
      <c r="C171" s="386" t="s">
        <v>161</v>
      </c>
      <c r="D171" s="387">
        <v>24900</v>
      </c>
      <c r="G171" s="388"/>
    </row>
    <row r="172" spans="1:7" ht="15.6">
      <c r="A172" s="385" t="s">
        <v>2105</v>
      </c>
      <c r="B172" s="386" t="s">
        <v>2106</v>
      </c>
      <c r="C172" s="386" t="s">
        <v>161</v>
      </c>
      <c r="D172" s="387">
        <v>31700</v>
      </c>
      <c r="G172" s="388"/>
    </row>
    <row r="173" spans="1:7" ht="15.6">
      <c r="A173" s="385" t="s">
        <v>2107</v>
      </c>
      <c r="B173" s="386" t="s">
        <v>2108</v>
      </c>
      <c r="C173" s="386" t="s">
        <v>161</v>
      </c>
      <c r="D173" s="387"/>
      <c r="G173" s="388"/>
    </row>
    <row r="174" spans="1:7" ht="15.6">
      <c r="A174" s="385" t="s">
        <v>2109</v>
      </c>
      <c r="B174" s="386" t="s">
        <v>2110</v>
      </c>
      <c r="C174" s="386" t="s">
        <v>161</v>
      </c>
      <c r="D174" s="387"/>
      <c r="G174" s="388"/>
    </row>
    <row r="175" spans="1:7" ht="15.6">
      <c r="A175" s="385" t="s">
        <v>2111</v>
      </c>
      <c r="B175" s="386" t="s">
        <v>2112</v>
      </c>
      <c r="C175" s="386" t="s">
        <v>161</v>
      </c>
      <c r="D175" s="387"/>
      <c r="G175" s="388"/>
    </row>
    <row r="176" spans="1:7" ht="15.6">
      <c r="A176" s="385" t="s">
        <v>2113</v>
      </c>
      <c r="B176" s="386" t="s">
        <v>2114</v>
      </c>
      <c r="C176" s="386" t="s">
        <v>161</v>
      </c>
      <c r="D176" s="387"/>
      <c r="G176" s="388"/>
    </row>
    <row r="177" spans="1:7" ht="15.6">
      <c r="A177" s="385" t="s">
        <v>2115</v>
      </c>
      <c r="B177" s="386" t="s">
        <v>2116</v>
      </c>
      <c r="C177" s="386" t="s">
        <v>161</v>
      </c>
      <c r="D177" s="387"/>
      <c r="G177" s="388"/>
    </row>
    <row r="178" spans="1:7" ht="15.6">
      <c r="A178" s="385" t="s">
        <v>2117</v>
      </c>
      <c r="B178" s="386" t="s">
        <v>2118</v>
      </c>
      <c r="C178" s="386" t="s">
        <v>161</v>
      </c>
      <c r="D178" s="387"/>
      <c r="G178" s="388"/>
    </row>
    <row r="179" spans="1:7" ht="15.6">
      <c r="A179" s="385" t="s">
        <v>2119</v>
      </c>
      <c r="B179" s="386" t="s">
        <v>2120</v>
      </c>
      <c r="C179" s="386" t="s">
        <v>161</v>
      </c>
      <c r="D179" s="387"/>
      <c r="G179" s="388"/>
    </row>
    <row r="180" spans="1:7" ht="15.6">
      <c r="A180" s="385" t="s">
        <v>2121</v>
      </c>
      <c r="B180" s="386" t="s">
        <v>2122</v>
      </c>
      <c r="C180" s="386" t="s">
        <v>161</v>
      </c>
      <c r="D180" s="387"/>
      <c r="G180" s="388"/>
    </row>
    <row r="181" spans="1:7" ht="15.6">
      <c r="A181" s="385" t="s">
        <v>2123</v>
      </c>
      <c r="B181" s="386" t="s">
        <v>2124</v>
      </c>
      <c r="C181" s="386" t="s">
        <v>161</v>
      </c>
      <c r="D181" s="387"/>
      <c r="G181" s="388"/>
    </row>
    <row r="182" spans="1:7" ht="15.6">
      <c r="A182" s="385" t="s">
        <v>2125</v>
      </c>
      <c r="B182" s="386" t="s">
        <v>2126</v>
      </c>
      <c r="C182" s="386" t="s">
        <v>161</v>
      </c>
      <c r="D182" s="387"/>
      <c r="G182" s="388"/>
    </row>
    <row r="183" spans="1:7" ht="15.6">
      <c r="A183" s="385" t="s">
        <v>2127</v>
      </c>
      <c r="B183" s="386" t="s">
        <v>2128</v>
      </c>
      <c r="C183" s="386" t="s">
        <v>161</v>
      </c>
      <c r="D183" s="387"/>
      <c r="G183" s="388"/>
    </row>
    <row r="184" spans="1:7" ht="15.6">
      <c r="A184" s="385" t="s">
        <v>2129</v>
      </c>
      <c r="B184" s="386" t="s">
        <v>2130</v>
      </c>
      <c r="C184" s="386" t="s">
        <v>161</v>
      </c>
      <c r="D184" s="387"/>
      <c r="G184" s="388"/>
    </row>
    <row r="185" spans="1:7" ht="15.6">
      <c r="A185" s="385" t="s">
        <v>2131</v>
      </c>
      <c r="B185" s="386" t="s">
        <v>2132</v>
      </c>
      <c r="C185" s="386" t="s">
        <v>161</v>
      </c>
      <c r="D185" s="387"/>
      <c r="G185" s="388"/>
    </row>
    <row r="186" spans="1:7" ht="15.6">
      <c r="A186" s="385" t="s">
        <v>2133</v>
      </c>
      <c r="B186" s="386" t="s">
        <v>2134</v>
      </c>
      <c r="C186" s="386" t="s">
        <v>161</v>
      </c>
      <c r="D186" s="387"/>
      <c r="G186" s="388"/>
    </row>
    <row r="187" spans="1:7" ht="15.6">
      <c r="A187" s="385" t="s">
        <v>2135</v>
      </c>
      <c r="B187" s="386" t="s">
        <v>2136</v>
      </c>
      <c r="C187" s="386" t="s">
        <v>161</v>
      </c>
      <c r="D187" s="387"/>
      <c r="G187" s="388"/>
    </row>
    <row r="188" spans="1:7" ht="15.6">
      <c r="A188" s="385" t="s">
        <v>2137</v>
      </c>
      <c r="B188" s="386" t="s">
        <v>2138</v>
      </c>
      <c r="C188" s="386" t="s">
        <v>161</v>
      </c>
      <c r="D188" s="387"/>
      <c r="G188" s="388"/>
    </row>
    <row r="189" spans="1:7" ht="15.6">
      <c r="A189" s="385" t="s">
        <v>2139</v>
      </c>
      <c r="B189" s="386" t="s">
        <v>2140</v>
      </c>
      <c r="C189" s="386" t="s">
        <v>161</v>
      </c>
      <c r="D189" s="387"/>
      <c r="G189" s="388"/>
    </row>
    <row r="190" spans="1:7" ht="15.6">
      <c r="A190" s="385" t="s">
        <v>2141</v>
      </c>
      <c r="B190" s="386" t="s">
        <v>2142</v>
      </c>
      <c r="C190" s="386" t="s">
        <v>161</v>
      </c>
      <c r="D190" s="387"/>
      <c r="G190" s="388"/>
    </row>
    <row r="191" spans="1:7" ht="15.6">
      <c r="A191" s="385" t="s">
        <v>2143</v>
      </c>
      <c r="B191" s="386" t="s">
        <v>2144</v>
      </c>
      <c r="C191" s="386" t="s">
        <v>161</v>
      </c>
      <c r="D191" s="387"/>
      <c r="G191" s="388"/>
    </row>
    <row r="192" spans="1:7" ht="15.6">
      <c r="A192" s="385" t="s">
        <v>2145</v>
      </c>
      <c r="B192" s="386" t="s">
        <v>2146</v>
      </c>
      <c r="C192" s="386" t="s">
        <v>161</v>
      </c>
      <c r="D192" s="387"/>
      <c r="G192" s="388"/>
    </row>
    <row r="193" spans="1:7" ht="15.6">
      <c r="A193" s="385" t="s">
        <v>2147</v>
      </c>
      <c r="B193" s="386" t="s">
        <v>2148</v>
      </c>
      <c r="C193" s="386" t="s">
        <v>161</v>
      </c>
      <c r="D193" s="387"/>
      <c r="G193" s="388"/>
    </row>
    <row r="194" spans="1:7" ht="15.6">
      <c r="A194" s="385" t="s">
        <v>2149</v>
      </c>
      <c r="B194" s="386" t="s">
        <v>2150</v>
      </c>
      <c r="C194" s="386" t="s">
        <v>161</v>
      </c>
      <c r="D194" s="387"/>
      <c r="G194" s="388"/>
    </row>
    <row r="195" spans="1:7" ht="15.6">
      <c r="A195" s="385" t="s">
        <v>2151</v>
      </c>
      <c r="B195" s="386" t="s">
        <v>2152</v>
      </c>
      <c r="C195" s="386" t="s">
        <v>161</v>
      </c>
      <c r="D195" s="387"/>
      <c r="G195" s="388"/>
    </row>
    <row r="196" spans="1:7" ht="15.6">
      <c r="A196" s="385" t="s">
        <v>2153</v>
      </c>
      <c r="B196" s="386" t="s">
        <v>2154</v>
      </c>
      <c r="C196" s="386" t="s">
        <v>161</v>
      </c>
      <c r="D196" s="387"/>
      <c r="G196" s="388"/>
    </row>
    <row r="197" spans="1:7" ht="15.6">
      <c r="A197" s="385" t="s">
        <v>2155</v>
      </c>
      <c r="B197" s="386" t="s">
        <v>2156</v>
      </c>
      <c r="C197" s="386" t="s">
        <v>161</v>
      </c>
      <c r="D197" s="387"/>
      <c r="G197" s="388"/>
    </row>
    <row r="198" spans="1:7" ht="15.6">
      <c r="A198" s="385" t="s">
        <v>2157</v>
      </c>
      <c r="B198" s="386" t="s">
        <v>2158</v>
      </c>
      <c r="C198" s="386" t="s">
        <v>161</v>
      </c>
      <c r="D198" s="387"/>
      <c r="G198" s="388"/>
    </row>
    <row r="199" spans="1:7" ht="15.6">
      <c r="A199" s="385" t="s">
        <v>2159</v>
      </c>
      <c r="B199" s="386" t="s">
        <v>2160</v>
      </c>
      <c r="C199" s="386" t="s">
        <v>161</v>
      </c>
      <c r="D199" s="387"/>
      <c r="G199" s="388"/>
    </row>
    <row r="200" spans="1:7" ht="15.6">
      <c r="A200" s="385" t="s">
        <v>2161</v>
      </c>
      <c r="B200" s="386" t="s">
        <v>2162</v>
      </c>
      <c r="C200" s="386" t="s">
        <v>161</v>
      </c>
      <c r="D200" s="387"/>
      <c r="G200" s="388"/>
    </row>
    <row r="201" spans="1:7" ht="15.6">
      <c r="A201" s="385" t="s">
        <v>2163</v>
      </c>
      <c r="B201" s="386" t="s">
        <v>2164</v>
      </c>
      <c r="C201" s="386" t="s">
        <v>161</v>
      </c>
      <c r="D201" s="387"/>
      <c r="G201" s="388"/>
    </row>
    <row r="202" spans="1:7" ht="15.6">
      <c r="A202" s="385" t="s">
        <v>2165</v>
      </c>
      <c r="B202" s="386" t="s">
        <v>2166</v>
      </c>
      <c r="C202" s="386" t="s">
        <v>161</v>
      </c>
      <c r="D202" s="387"/>
      <c r="G202" s="388"/>
    </row>
    <row r="203" spans="1:7" ht="15.6">
      <c r="A203" s="385" t="s">
        <v>2167</v>
      </c>
      <c r="B203" s="386" t="s">
        <v>2168</v>
      </c>
      <c r="C203" s="386" t="s">
        <v>161</v>
      </c>
      <c r="D203" s="387"/>
      <c r="G203" s="388"/>
    </row>
    <row r="204" spans="1:7" ht="15.6">
      <c r="A204" s="385" t="s">
        <v>2169</v>
      </c>
      <c r="B204" s="386" t="s">
        <v>2170</v>
      </c>
      <c r="C204" s="386" t="s">
        <v>161</v>
      </c>
      <c r="D204" s="387"/>
      <c r="G204" s="388"/>
    </row>
    <row r="205" spans="1:7" ht="15.6">
      <c r="A205" s="385" t="s">
        <v>2171</v>
      </c>
      <c r="B205" s="386" t="s">
        <v>2172</v>
      </c>
      <c r="C205" s="386" t="s">
        <v>161</v>
      </c>
      <c r="D205" s="387"/>
      <c r="G205" s="388"/>
    </row>
    <row r="206" spans="1:7" ht="15.6">
      <c r="A206" s="385" t="s">
        <v>2173</v>
      </c>
      <c r="B206" s="386" t="s">
        <v>2174</v>
      </c>
      <c r="C206" s="386" t="s">
        <v>161</v>
      </c>
      <c r="D206" s="387">
        <v>1169000</v>
      </c>
      <c r="G206" s="388"/>
    </row>
    <row r="207" spans="1:7" ht="15.6">
      <c r="A207" s="385" t="s">
        <v>2175</v>
      </c>
      <c r="B207" s="386" t="s">
        <v>2176</v>
      </c>
      <c r="C207" s="386" t="s">
        <v>161</v>
      </c>
      <c r="D207" s="387">
        <v>1297000</v>
      </c>
      <c r="G207" s="388"/>
    </row>
    <row r="208" spans="1:7" ht="15.6">
      <c r="A208" s="385" t="s">
        <v>2177</v>
      </c>
      <c r="B208" s="386" t="s">
        <v>2178</v>
      </c>
      <c r="C208" s="386" t="s">
        <v>161</v>
      </c>
      <c r="D208" s="387">
        <v>1590000</v>
      </c>
      <c r="G208" s="388"/>
    </row>
    <row r="209" spans="1:7" ht="15.6">
      <c r="A209" s="385" t="s">
        <v>2179</v>
      </c>
      <c r="B209" s="386" t="s">
        <v>2180</v>
      </c>
      <c r="C209" s="386" t="s">
        <v>161</v>
      </c>
      <c r="D209" s="387">
        <v>1989000</v>
      </c>
      <c r="G209" s="388"/>
    </row>
    <row r="210" spans="1:7" ht="15.6">
      <c r="A210" s="385" t="s">
        <v>2181</v>
      </c>
      <c r="B210" s="386" t="s">
        <v>2182</v>
      </c>
      <c r="C210" s="386" t="s">
        <v>161</v>
      </c>
      <c r="D210" s="387">
        <v>2512000</v>
      </c>
      <c r="G210" s="388"/>
    </row>
    <row r="211" spans="1:7" ht="15.6">
      <c r="A211" s="385" t="s">
        <v>2183</v>
      </c>
      <c r="B211" s="386" t="s">
        <v>2184</v>
      </c>
      <c r="C211" s="386" t="s">
        <v>161</v>
      </c>
      <c r="D211" s="387">
        <v>3156000</v>
      </c>
      <c r="G211" s="388"/>
    </row>
    <row r="212" spans="1:7" ht="15.6">
      <c r="A212" s="385" t="s">
        <v>2185</v>
      </c>
      <c r="B212" s="386" t="s">
        <v>2186</v>
      </c>
      <c r="C212" s="386" t="s">
        <v>161</v>
      </c>
      <c r="D212" s="387">
        <v>4669000</v>
      </c>
      <c r="G212" s="388"/>
    </row>
    <row r="213" spans="1:7" ht="15.6">
      <c r="A213" s="385" t="s">
        <v>2187</v>
      </c>
      <c r="B213" s="386" t="s">
        <v>2188</v>
      </c>
      <c r="C213" s="386" t="s">
        <v>161</v>
      </c>
      <c r="D213" s="387">
        <v>7762000</v>
      </c>
      <c r="G213" s="388"/>
    </row>
    <row r="214" spans="1:7" ht="15.6">
      <c r="A214" s="385" t="s">
        <v>2189</v>
      </c>
      <c r="B214" s="386" t="s">
        <v>2190</v>
      </c>
      <c r="C214" s="386" t="s">
        <v>161</v>
      </c>
      <c r="D214" s="387">
        <v>10704000</v>
      </c>
      <c r="G214" s="388"/>
    </row>
    <row r="215" spans="1:7" ht="15.6">
      <c r="A215" s="385" t="s">
        <v>2191</v>
      </c>
      <c r="B215" s="386" t="s">
        <v>2192</v>
      </c>
      <c r="C215" s="386" t="s">
        <v>161</v>
      </c>
      <c r="D215" s="387">
        <v>22419000</v>
      </c>
      <c r="G215" s="388"/>
    </row>
    <row r="216" spans="1:7" ht="15.6">
      <c r="A216" s="385" t="s">
        <v>2193</v>
      </c>
      <c r="B216" s="386" t="s">
        <v>2194</v>
      </c>
      <c r="C216" s="386" t="s">
        <v>161</v>
      </c>
      <c r="D216" s="387">
        <v>27369000</v>
      </c>
      <c r="G216" s="388"/>
    </row>
    <row r="217" spans="1:7" ht="15.6">
      <c r="A217" s="385" t="s">
        <v>2195</v>
      </c>
      <c r="B217" s="386" t="s">
        <v>2196</v>
      </c>
      <c r="C217" s="386" t="s">
        <v>161</v>
      </c>
      <c r="D217" s="387"/>
      <c r="G217" s="388"/>
    </row>
    <row r="218" spans="1:7" ht="15.6">
      <c r="A218" s="385" t="s">
        <v>2197</v>
      </c>
      <c r="B218" s="386" t="s">
        <v>2198</v>
      </c>
      <c r="C218" s="386" t="s">
        <v>161</v>
      </c>
      <c r="D218" s="387"/>
      <c r="G218" s="388"/>
    </row>
    <row r="219" spans="1:7" ht="15.6">
      <c r="A219" s="385" t="s">
        <v>2199</v>
      </c>
      <c r="B219" s="386" t="s">
        <v>2200</v>
      </c>
      <c r="C219" s="386" t="s">
        <v>161</v>
      </c>
      <c r="D219" s="387"/>
      <c r="G219" s="388"/>
    </row>
    <row r="220" spans="1:7" ht="15.6">
      <c r="A220" s="385" t="s">
        <v>2201</v>
      </c>
      <c r="B220" s="386" t="s">
        <v>2202</v>
      </c>
      <c r="C220" s="386" t="s">
        <v>161</v>
      </c>
      <c r="D220" s="387"/>
      <c r="G220" s="388"/>
    </row>
    <row r="221" spans="1:7" ht="15.6">
      <c r="A221" s="385" t="s">
        <v>2203</v>
      </c>
      <c r="B221" s="386" t="s">
        <v>2204</v>
      </c>
      <c r="C221" s="386" t="s">
        <v>161</v>
      </c>
      <c r="D221" s="387"/>
      <c r="G221" s="388"/>
    </row>
    <row r="222" spans="1:7" ht="15.6">
      <c r="A222" s="385" t="s">
        <v>2205</v>
      </c>
      <c r="B222" s="386" t="s">
        <v>2206</v>
      </c>
      <c r="C222" s="386" t="s">
        <v>161</v>
      </c>
      <c r="D222" s="387"/>
      <c r="G222" s="388"/>
    </row>
    <row r="223" spans="1:7" ht="15.6">
      <c r="A223" s="385" t="s">
        <v>2207</v>
      </c>
      <c r="B223" s="386" t="s">
        <v>2208</v>
      </c>
      <c r="C223" s="386" t="s">
        <v>161</v>
      </c>
      <c r="D223" s="387"/>
      <c r="G223" s="388"/>
    </row>
    <row r="224" spans="1:7" ht="15.6">
      <c r="A224" s="385" t="s">
        <v>2209</v>
      </c>
      <c r="B224" s="386" t="s">
        <v>2210</v>
      </c>
      <c r="C224" s="386" t="s">
        <v>161</v>
      </c>
      <c r="D224" s="387"/>
      <c r="G224" s="388"/>
    </row>
    <row r="225" spans="1:7" ht="15.6">
      <c r="A225" s="385" t="s">
        <v>2211</v>
      </c>
      <c r="B225" s="386" t="s">
        <v>2212</v>
      </c>
      <c r="C225" s="386" t="s">
        <v>161</v>
      </c>
      <c r="D225" s="387"/>
      <c r="G225" s="388"/>
    </row>
    <row r="226" spans="1:7" ht="15.6">
      <c r="A226" s="385" t="s">
        <v>2213</v>
      </c>
      <c r="B226" s="386" t="s">
        <v>2214</v>
      </c>
      <c r="C226" s="386" t="s">
        <v>161</v>
      </c>
      <c r="D226" s="387"/>
      <c r="G226" s="388"/>
    </row>
    <row r="227" spans="1:7" ht="15.6">
      <c r="A227" s="385" t="s">
        <v>2215</v>
      </c>
      <c r="B227" s="386" t="s">
        <v>2216</v>
      </c>
      <c r="C227" s="386" t="s">
        <v>161</v>
      </c>
      <c r="D227" s="387"/>
      <c r="G227" s="388"/>
    </row>
    <row r="228" spans="1:7" ht="15.6">
      <c r="A228" s="385" t="s">
        <v>740</v>
      </c>
      <c r="B228" s="386" t="s">
        <v>2217</v>
      </c>
      <c r="C228" s="386" t="s">
        <v>161</v>
      </c>
      <c r="D228" s="387">
        <v>828500</v>
      </c>
      <c r="G228" s="388"/>
    </row>
    <row r="229" spans="1:7" ht="15.6">
      <c r="A229" s="385" t="s">
        <v>108</v>
      </c>
      <c r="B229" s="386" t="s">
        <v>2218</v>
      </c>
      <c r="C229" s="386" t="s">
        <v>161</v>
      </c>
      <c r="D229" s="387">
        <v>849000</v>
      </c>
      <c r="G229" s="388"/>
    </row>
    <row r="230" spans="1:7" ht="15.6">
      <c r="A230" s="385" t="s">
        <v>743</v>
      </c>
      <c r="B230" s="386" t="s">
        <v>2219</v>
      </c>
      <c r="C230" s="386" t="s">
        <v>161</v>
      </c>
      <c r="D230" s="387">
        <v>864500</v>
      </c>
      <c r="G230" s="388"/>
    </row>
    <row r="231" spans="1:7" ht="15.6">
      <c r="A231" s="385" t="s">
        <v>98</v>
      </c>
      <c r="B231" s="386" t="s">
        <v>2220</v>
      </c>
      <c r="C231" s="386" t="s">
        <v>161</v>
      </c>
      <c r="D231" s="387">
        <v>902500</v>
      </c>
      <c r="G231" s="388"/>
    </row>
    <row r="232" spans="1:7" ht="15.6">
      <c r="A232" s="385" t="s">
        <v>746</v>
      </c>
      <c r="B232" s="386" t="s">
        <v>2221</v>
      </c>
      <c r="C232" s="386" t="s">
        <v>161</v>
      </c>
      <c r="D232" s="387">
        <v>925500</v>
      </c>
      <c r="G232" s="388"/>
    </row>
    <row r="233" spans="1:7" ht="15.6">
      <c r="A233" s="385" t="s">
        <v>112</v>
      </c>
      <c r="B233" s="386" t="s">
        <v>2222</v>
      </c>
      <c r="C233" s="386" t="s">
        <v>161</v>
      </c>
      <c r="D233" s="387">
        <v>1230000</v>
      </c>
      <c r="G233" s="388"/>
    </row>
    <row r="234" spans="1:7" ht="15.6">
      <c r="A234" s="385" t="s">
        <v>139</v>
      </c>
      <c r="B234" s="386" t="s">
        <v>2223</v>
      </c>
      <c r="C234" s="386" t="s">
        <v>161</v>
      </c>
      <c r="D234" s="387">
        <v>1498000</v>
      </c>
      <c r="G234" s="388"/>
    </row>
    <row r="235" spans="1:7" ht="15.6">
      <c r="A235" s="385" t="s">
        <v>750</v>
      </c>
      <c r="B235" s="386" t="s">
        <v>2224</v>
      </c>
      <c r="C235" s="386" t="s">
        <v>161</v>
      </c>
      <c r="D235" s="387">
        <v>1793000</v>
      </c>
      <c r="G235" s="388"/>
    </row>
    <row r="236" spans="1:7" ht="15.6">
      <c r="A236" s="385" t="s">
        <v>752</v>
      </c>
      <c r="B236" s="386" t="s">
        <v>2225</v>
      </c>
      <c r="C236" s="386" t="s">
        <v>161</v>
      </c>
      <c r="D236" s="387">
        <v>2491000</v>
      </c>
      <c r="G236" s="388"/>
    </row>
    <row r="237" spans="1:7" ht="15.6">
      <c r="A237" s="385" t="s">
        <v>754</v>
      </c>
      <c r="B237" s="386" t="s">
        <v>2226</v>
      </c>
      <c r="C237" s="386" t="s">
        <v>161</v>
      </c>
      <c r="D237" s="387">
        <v>3735000</v>
      </c>
      <c r="G237" s="388"/>
    </row>
    <row r="238" spans="1:7" ht="15.6">
      <c r="A238" s="385" t="s">
        <v>129</v>
      </c>
      <c r="B238" s="386" t="s">
        <v>2227</v>
      </c>
      <c r="C238" s="386" t="s">
        <v>161</v>
      </c>
      <c r="D238" s="387">
        <v>4372000</v>
      </c>
      <c r="G238" s="388"/>
    </row>
    <row r="239" spans="1:7" ht="15.6">
      <c r="A239" s="385" t="s">
        <v>2228</v>
      </c>
      <c r="B239" s="386" t="s">
        <v>2229</v>
      </c>
      <c r="C239" s="386" t="s">
        <v>161</v>
      </c>
      <c r="D239" s="387">
        <v>5157000</v>
      </c>
      <c r="G239" s="388"/>
    </row>
    <row r="240" spans="1:7" ht="15.6">
      <c r="A240" s="385" t="s">
        <v>2230</v>
      </c>
      <c r="B240" s="386" t="s">
        <v>2231</v>
      </c>
      <c r="C240" s="386" t="s">
        <v>161</v>
      </c>
      <c r="D240" s="387">
        <v>7175000</v>
      </c>
      <c r="G240" s="388"/>
    </row>
    <row r="241" spans="1:7" ht="15.6">
      <c r="A241" s="385" t="s">
        <v>2232</v>
      </c>
      <c r="B241" s="386" t="s">
        <v>2233</v>
      </c>
      <c r="C241" s="386" t="s">
        <v>161</v>
      </c>
      <c r="D241" s="387">
        <v>9777000</v>
      </c>
      <c r="G241" s="388"/>
    </row>
    <row r="242" spans="1:7" ht="15.6">
      <c r="A242" s="385" t="s">
        <v>757</v>
      </c>
      <c r="B242" s="386" t="s">
        <v>2234</v>
      </c>
      <c r="C242" s="386" t="s">
        <v>161</v>
      </c>
      <c r="D242" s="387">
        <v>2368000</v>
      </c>
      <c r="G242" s="388"/>
    </row>
    <row r="243" spans="1:7" ht="15.6">
      <c r="A243" s="385" t="s">
        <v>759</v>
      </c>
      <c r="B243" s="386" t="s">
        <v>2235</v>
      </c>
      <c r="C243" s="386" t="s">
        <v>161</v>
      </c>
      <c r="D243" s="387">
        <v>2952000</v>
      </c>
      <c r="G243" s="388"/>
    </row>
    <row r="244" spans="1:7" ht="15.6">
      <c r="A244" s="385" t="s">
        <v>761</v>
      </c>
      <c r="B244" s="386" t="s">
        <v>2236</v>
      </c>
      <c r="C244" s="386" t="s">
        <v>161</v>
      </c>
      <c r="D244" s="387">
        <v>3275000</v>
      </c>
      <c r="G244" s="388"/>
    </row>
    <row r="245" spans="1:7" ht="15.6">
      <c r="A245" s="385" t="s">
        <v>763</v>
      </c>
      <c r="B245" s="386" t="s">
        <v>2237</v>
      </c>
      <c r="C245" s="386" t="s">
        <v>161</v>
      </c>
      <c r="D245" s="387">
        <v>5260000</v>
      </c>
      <c r="G245" s="388"/>
    </row>
    <row r="246" spans="1:7" ht="15.6">
      <c r="A246" s="385" t="s">
        <v>765</v>
      </c>
      <c r="B246" s="386" t="s">
        <v>2238</v>
      </c>
      <c r="C246" s="386" t="s">
        <v>161</v>
      </c>
      <c r="D246" s="387">
        <v>6573000</v>
      </c>
      <c r="G246" s="388"/>
    </row>
    <row r="247" spans="1:7" ht="15.6">
      <c r="A247" s="385" t="s">
        <v>2239</v>
      </c>
      <c r="B247" s="386" t="s">
        <v>2240</v>
      </c>
      <c r="C247" s="386" t="s">
        <v>161</v>
      </c>
      <c r="D247" s="387">
        <v>8032000</v>
      </c>
      <c r="G247" s="388"/>
    </row>
    <row r="248" spans="1:7" ht="15.6">
      <c r="A248" s="385" t="s">
        <v>2241</v>
      </c>
      <c r="B248" s="386" t="s">
        <v>2242</v>
      </c>
      <c r="C248" s="386" t="s">
        <v>161</v>
      </c>
      <c r="D248" s="387">
        <v>10396000</v>
      </c>
      <c r="G248" s="388"/>
    </row>
    <row r="249" spans="1:7" ht="15.6">
      <c r="A249" s="385" t="s">
        <v>2243</v>
      </c>
      <c r="B249" s="386" t="s">
        <v>2244</v>
      </c>
      <c r="C249" s="386" t="s">
        <v>161</v>
      </c>
      <c r="D249" s="387">
        <v>15209000</v>
      </c>
      <c r="G249" s="388"/>
    </row>
    <row r="250" spans="1:7" ht="15.6">
      <c r="A250" s="385" t="s">
        <v>2245</v>
      </c>
      <c r="B250" s="386" t="s">
        <v>2246</v>
      </c>
      <c r="C250" s="386" t="s">
        <v>161</v>
      </c>
      <c r="D250" s="387"/>
      <c r="G250" s="388"/>
    </row>
    <row r="251" spans="1:7" ht="15.6">
      <c r="A251" s="385" t="s">
        <v>2247</v>
      </c>
      <c r="B251" s="386" t="s">
        <v>2248</v>
      </c>
      <c r="C251" s="386" t="s">
        <v>161</v>
      </c>
      <c r="D251" s="387"/>
      <c r="G251" s="388"/>
    </row>
    <row r="252" spans="1:7" ht="15.6">
      <c r="A252" s="385" t="s">
        <v>808</v>
      </c>
      <c r="B252" s="386" t="s">
        <v>2249</v>
      </c>
      <c r="C252" s="386" t="s">
        <v>161</v>
      </c>
      <c r="D252" s="387">
        <v>1057000</v>
      </c>
      <c r="G252" s="388"/>
    </row>
    <row r="253" spans="1:7" ht="15.6">
      <c r="A253" s="385" t="s">
        <v>810</v>
      </c>
      <c r="B253" s="386" t="s">
        <v>2250</v>
      </c>
      <c r="C253" s="386" t="s">
        <v>161</v>
      </c>
      <c r="D253" s="387">
        <v>1100000</v>
      </c>
      <c r="G253" s="388"/>
    </row>
    <row r="254" spans="1:7" ht="15.6">
      <c r="A254" s="385" t="s">
        <v>170</v>
      </c>
      <c r="B254" s="386" t="s">
        <v>2251</v>
      </c>
      <c r="C254" s="386" t="s">
        <v>161</v>
      </c>
      <c r="D254" s="387">
        <v>1244000</v>
      </c>
      <c r="G254" s="388"/>
    </row>
    <row r="255" spans="1:7" ht="15.6">
      <c r="A255" s="385" t="s">
        <v>813</v>
      </c>
      <c r="B255" s="386" t="s">
        <v>2252</v>
      </c>
      <c r="C255" s="386" t="s">
        <v>161</v>
      </c>
      <c r="D255" s="387">
        <v>1404000</v>
      </c>
      <c r="G255" s="388"/>
    </row>
    <row r="256" spans="1:7" ht="15.6">
      <c r="A256" s="385" t="s">
        <v>815</v>
      </c>
      <c r="B256" s="386" t="s">
        <v>2253</v>
      </c>
      <c r="C256" s="386" t="s">
        <v>161</v>
      </c>
      <c r="D256" s="387">
        <v>1628000</v>
      </c>
      <c r="G256" s="388"/>
    </row>
    <row r="257" spans="1:7" ht="15.6">
      <c r="A257" s="385" t="s">
        <v>817</v>
      </c>
      <c r="B257" s="386" t="s">
        <v>2254</v>
      </c>
      <c r="C257" s="386" t="s">
        <v>161</v>
      </c>
      <c r="D257" s="387">
        <v>1917000</v>
      </c>
      <c r="G257" s="388"/>
    </row>
    <row r="258" spans="1:7" ht="15.6">
      <c r="A258" s="385" t="s">
        <v>2255</v>
      </c>
      <c r="B258" s="386" t="s">
        <v>2256</v>
      </c>
      <c r="C258" s="386" t="s">
        <v>161</v>
      </c>
      <c r="D258" s="387">
        <v>2754000</v>
      </c>
      <c r="G258" s="388"/>
    </row>
    <row r="259" spans="1:7" ht="15.6">
      <c r="A259" s="385" t="s">
        <v>2257</v>
      </c>
      <c r="B259" s="386" t="s">
        <v>2258</v>
      </c>
      <c r="C259" s="386" t="s">
        <v>161</v>
      </c>
      <c r="D259" s="387">
        <v>3904000</v>
      </c>
      <c r="G259" s="388"/>
    </row>
    <row r="260" spans="1:7" ht="15.6">
      <c r="A260" s="385" t="s">
        <v>2259</v>
      </c>
      <c r="B260" s="386" t="s">
        <v>2260</v>
      </c>
      <c r="C260" s="386" t="s">
        <v>161</v>
      </c>
      <c r="D260" s="387">
        <v>5901000</v>
      </c>
      <c r="G260" s="388"/>
    </row>
    <row r="261" spans="1:7" ht="15.6">
      <c r="A261" s="385" t="s">
        <v>2261</v>
      </c>
      <c r="B261" s="386" t="s">
        <v>2262</v>
      </c>
      <c r="C261" s="386" t="s">
        <v>161</v>
      </c>
      <c r="D261" s="387">
        <v>9527000</v>
      </c>
      <c r="G261" s="388"/>
    </row>
    <row r="262" spans="1:7" ht="15.6">
      <c r="A262" s="385" t="s">
        <v>2263</v>
      </c>
      <c r="B262" s="386" t="s">
        <v>2264</v>
      </c>
      <c r="C262" s="386" t="s">
        <v>161</v>
      </c>
      <c r="D262" s="387">
        <v>10858000</v>
      </c>
      <c r="G262" s="388"/>
    </row>
    <row r="263" spans="1:7" ht="15.6">
      <c r="A263" s="385" t="s">
        <v>2265</v>
      </c>
      <c r="B263" s="386" t="s">
        <v>2266</v>
      </c>
      <c r="C263" s="386" t="s">
        <v>161</v>
      </c>
      <c r="D263" s="387"/>
      <c r="G263" s="388"/>
    </row>
    <row r="264" spans="1:7" ht="15.6">
      <c r="A264" s="385" t="s">
        <v>2267</v>
      </c>
      <c r="B264" s="386" t="s">
        <v>2268</v>
      </c>
      <c r="C264" s="386" t="s">
        <v>161</v>
      </c>
      <c r="D264" s="387"/>
      <c r="G264" s="388"/>
    </row>
    <row r="265" spans="1:7" ht="15.6">
      <c r="A265" s="385">
        <v>110101</v>
      </c>
      <c r="B265" s="386" t="s">
        <v>2269</v>
      </c>
      <c r="C265" s="386" t="s">
        <v>161</v>
      </c>
      <c r="D265" s="387">
        <v>309000</v>
      </c>
      <c r="G265" s="388"/>
    </row>
    <row r="266" spans="1:7" ht="15.6">
      <c r="A266" s="385">
        <v>110102</v>
      </c>
      <c r="B266" s="386" t="s">
        <v>2270</v>
      </c>
      <c r="C266" s="386" t="s">
        <v>161</v>
      </c>
      <c r="D266" s="387">
        <v>455000</v>
      </c>
      <c r="G266" s="388"/>
    </row>
    <row r="267" spans="1:7" ht="15.6">
      <c r="A267" s="385">
        <v>110103</v>
      </c>
      <c r="B267" s="386" t="s">
        <v>2271</v>
      </c>
      <c r="C267" s="386" t="s">
        <v>161</v>
      </c>
      <c r="D267" s="387">
        <v>613500</v>
      </c>
      <c r="G267" s="388"/>
    </row>
    <row r="268" spans="1:7" ht="15.6">
      <c r="A268" s="385">
        <v>110104</v>
      </c>
      <c r="B268" s="386" t="s">
        <v>2272</v>
      </c>
      <c r="C268" s="386" t="s">
        <v>161</v>
      </c>
      <c r="D268" s="387">
        <v>915000</v>
      </c>
      <c r="G268" s="388"/>
    </row>
    <row r="269" spans="1:7" ht="15.6">
      <c r="A269" s="385">
        <v>110105</v>
      </c>
      <c r="B269" s="386" t="s">
        <v>2273</v>
      </c>
      <c r="C269" s="386" t="s">
        <v>161</v>
      </c>
      <c r="D269" s="387">
        <v>1302000</v>
      </c>
      <c r="G269" s="388"/>
    </row>
    <row r="270" spans="1:7" ht="15.6">
      <c r="A270" s="385">
        <v>110106</v>
      </c>
      <c r="B270" s="386" t="s">
        <v>2274</v>
      </c>
      <c r="C270" s="386" t="s">
        <v>161</v>
      </c>
      <c r="D270" s="387">
        <v>1891000</v>
      </c>
      <c r="G270" s="388"/>
    </row>
    <row r="271" spans="1:7" ht="15.6">
      <c r="A271" s="385">
        <v>110107</v>
      </c>
      <c r="B271" s="386" t="s">
        <v>2275</v>
      </c>
      <c r="C271" s="386" t="s">
        <v>161</v>
      </c>
      <c r="D271" s="387">
        <v>3372000</v>
      </c>
      <c r="G271" s="388"/>
    </row>
    <row r="272" spans="1:7" ht="15.6">
      <c r="A272" s="385">
        <v>110201</v>
      </c>
      <c r="B272" s="386" t="s">
        <v>2276</v>
      </c>
      <c r="C272" s="386" t="s">
        <v>161</v>
      </c>
      <c r="D272" s="387">
        <v>2360000</v>
      </c>
      <c r="G272" s="388"/>
    </row>
    <row r="273" spans="1:7" ht="15.6">
      <c r="A273" s="385">
        <v>110202</v>
      </c>
      <c r="B273" s="386" t="s">
        <v>2277</v>
      </c>
      <c r="C273" s="386" t="s">
        <v>161</v>
      </c>
      <c r="D273" s="387">
        <v>2865000</v>
      </c>
      <c r="G273" s="388"/>
    </row>
    <row r="274" spans="1:7" ht="15.6">
      <c r="A274" s="385">
        <v>110203</v>
      </c>
      <c r="B274" s="386" t="s">
        <v>2278</v>
      </c>
      <c r="C274" s="386" t="s">
        <v>161</v>
      </c>
      <c r="D274" s="387">
        <v>3577000</v>
      </c>
      <c r="G274" s="388"/>
    </row>
    <row r="275" spans="1:7" ht="15.6">
      <c r="A275" s="385">
        <v>110204</v>
      </c>
      <c r="B275" s="386" t="s">
        <v>2279</v>
      </c>
      <c r="C275" s="386" t="s">
        <v>161</v>
      </c>
      <c r="D275" s="387">
        <v>4430000</v>
      </c>
      <c r="G275" s="388"/>
    </row>
    <row r="276" spans="1:7" ht="15.6">
      <c r="A276" s="385">
        <v>110205</v>
      </c>
      <c r="B276" s="386" t="s">
        <v>2280</v>
      </c>
      <c r="C276" s="386" t="s">
        <v>161</v>
      </c>
      <c r="D276" s="387">
        <v>5806000</v>
      </c>
      <c r="G276" s="388"/>
    </row>
    <row r="277" spans="1:7" ht="15.6">
      <c r="A277" s="385">
        <v>110206</v>
      </c>
      <c r="B277" s="386" t="s">
        <v>2281</v>
      </c>
      <c r="C277" s="386" t="s">
        <v>161</v>
      </c>
      <c r="D277" s="387">
        <v>7517000</v>
      </c>
      <c r="G277" s="388"/>
    </row>
    <row r="278" spans="1:7" ht="15.6">
      <c r="A278" s="385">
        <v>110207</v>
      </c>
      <c r="B278" s="386" t="s">
        <v>2282</v>
      </c>
      <c r="C278" s="386" t="s">
        <v>161</v>
      </c>
      <c r="D278" s="387">
        <v>12541000</v>
      </c>
      <c r="G278" s="388"/>
    </row>
    <row r="279" spans="1:7" ht="15.6">
      <c r="A279" s="385">
        <v>110208</v>
      </c>
      <c r="B279" s="386" t="s">
        <v>2283</v>
      </c>
      <c r="C279" s="386" t="s">
        <v>161</v>
      </c>
      <c r="D279" s="387">
        <v>19898000</v>
      </c>
      <c r="G279" s="388"/>
    </row>
    <row r="280" spans="1:7" ht="15.6">
      <c r="A280" s="385">
        <v>110209</v>
      </c>
      <c r="B280" s="386" t="s">
        <v>2284</v>
      </c>
      <c r="C280" s="386" t="s">
        <v>161</v>
      </c>
      <c r="D280" s="387">
        <v>28503000</v>
      </c>
      <c r="G280" s="388"/>
    </row>
    <row r="281" spans="1:7" ht="15.6">
      <c r="A281" s="385">
        <v>110210</v>
      </c>
      <c r="B281" s="386" t="s">
        <v>2285</v>
      </c>
      <c r="C281" s="386" t="s">
        <v>161</v>
      </c>
      <c r="D281" s="387">
        <v>40037000</v>
      </c>
      <c r="G281" s="388"/>
    </row>
    <row r="282" spans="1:7" ht="15.6">
      <c r="A282" s="385">
        <v>110211</v>
      </c>
      <c r="B282" s="386" t="s">
        <v>2286</v>
      </c>
      <c r="C282" s="386" t="s">
        <v>161</v>
      </c>
      <c r="D282" s="387"/>
      <c r="G282" s="388"/>
    </row>
    <row r="283" spans="1:7" ht="27.6">
      <c r="A283" s="385">
        <v>120101</v>
      </c>
      <c r="B283" s="386" t="s">
        <v>2287</v>
      </c>
      <c r="C283" s="386" t="s">
        <v>2288</v>
      </c>
      <c r="D283" s="387">
        <v>386500</v>
      </c>
      <c r="G283" s="388"/>
    </row>
    <row r="284" spans="1:7" ht="27.6">
      <c r="A284" s="385">
        <v>120102</v>
      </c>
      <c r="B284" s="386" t="s">
        <v>2289</v>
      </c>
      <c r="C284" s="386" t="s">
        <v>2288</v>
      </c>
      <c r="D284" s="387">
        <v>329500</v>
      </c>
      <c r="G284" s="388"/>
    </row>
    <row r="285" spans="1:7" ht="27.6">
      <c r="A285" s="385">
        <v>120103</v>
      </c>
      <c r="B285" s="386" t="s">
        <v>2290</v>
      </c>
      <c r="C285" s="386" t="s">
        <v>2288</v>
      </c>
      <c r="D285" s="387">
        <v>283000</v>
      </c>
      <c r="G285" s="388"/>
    </row>
    <row r="286" spans="1:7" ht="27.6">
      <c r="A286" s="385">
        <v>120201</v>
      </c>
      <c r="B286" s="386" t="s">
        <v>2291</v>
      </c>
      <c r="C286" s="386" t="s">
        <v>2288</v>
      </c>
      <c r="D286" s="387">
        <v>531000</v>
      </c>
      <c r="G286" s="388"/>
    </row>
    <row r="287" spans="1:7" ht="27.6">
      <c r="A287" s="385">
        <v>120202</v>
      </c>
      <c r="B287" s="386" t="s">
        <v>2292</v>
      </c>
      <c r="C287" s="386" t="s">
        <v>2288</v>
      </c>
      <c r="D287" s="387">
        <v>456000</v>
      </c>
      <c r="G287" s="388"/>
    </row>
    <row r="288" spans="1:7" ht="27.6">
      <c r="A288" s="385">
        <v>120203</v>
      </c>
      <c r="B288" s="386" t="s">
        <v>2293</v>
      </c>
      <c r="C288" s="386" t="s">
        <v>2288</v>
      </c>
      <c r="D288" s="387">
        <v>418000</v>
      </c>
      <c r="G288" s="388"/>
    </row>
    <row r="289" spans="1:7" ht="27.6">
      <c r="A289" s="385">
        <v>120204</v>
      </c>
      <c r="B289" s="386" t="s">
        <v>2294</v>
      </c>
      <c r="C289" s="386" t="s">
        <v>2288</v>
      </c>
      <c r="D289" s="387">
        <v>400500</v>
      </c>
      <c r="G289" s="388"/>
    </row>
    <row r="290" spans="1:7" ht="27.6">
      <c r="A290" s="385">
        <v>120205</v>
      </c>
      <c r="B290" s="386" t="s">
        <v>2295</v>
      </c>
      <c r="C290" s="386" t="s">
        <v>2288</v>
      </c>
      <c r="D290" s="387">
        <v>389000</v>
      </c>
      <c r="G290" s="388"/>
    </row>
    <row r="291" spans="1:7" ht="15.6">
      <c r="A291" s="385">
        <v>130101</v>
      </c>
      <c r="B291" s="386" t="s">
        <v>2296</v>
      </c>
      <c r="C291" s="386" t="s">
        <v>206</v>
      </c>
      <c r="D291" s="387">
        <v>396528000</v>
      </c>
      <c r="G291" s="388"/>
    </row>
    <row r="292" spans="1:7" ht="15.6">
      <c r="A292" s="385">
        <v>130102</v>
      </c>
      <c r="B292" s="386" t="s">
        <v>2297</v>
      </c>
      <c r="C292" s="386" t="s">
        <v>206</v>
      </c>
      <c r="D292" s="387">
        <v>528558000</v>
      </c>
      <c r="G292" s="388"/>
    </row>
    <row r="293" spans="1:7" ht="15.6">
      <c r="A293" s="385">
        <v>130103</v>
      </c>
      <c r="B293" s="386" t="s">
        <v>2298</v>
      </c>
      <c r="C293" s="386" t="s">
        <v>206</v>
      </c>
      <c r="D293" s="387">
        <v>625414000</v>
      </c>
      <c r="G293" s="388"/>
    </row>
    <row r="294" spans="1:7" ht="15.6">
      <c r="A294" s="385">
        <v>130104</v>
      </c>
      <c r="B294" s="386" t="s">
        <v>2299</v>
      </c>
      <c r="C294" s="386" t="s">
        <v>206</v>
      </c>
      <c r="D294" s="387">
        <v>754658000</v>
      </c>
      <c r="G294" s="388"/>
    </row>
    <row r="295" spans="1:7" ht="15.6">
      <c r="A295" s="385">
        <v>130105</v>
      </c>
      <c r="B295" s="386" t="s">
        <v>2300</v>
      </c>
      <c r="C295" s="386" t="s">
        <v>206</v>
      </c>
      <c r="D295" s="387">
        <v>859553000</v>
      </c>
      <c r="G295" s="388"/>
    </row>
    <row r="296" spans="1:7" ht="15.6">
      <c r="A296" s="385">
        <v>130106</v>
      </c>
      <c r="B296" s="386" t="s">
        <v>2301</v>
      </c>
      <c r="C296" s="386" t="s">
        <v>206</v>
      </c>
      <c r="D296" s="387">
        <v>1135634000</v>
      </c>
      <c r="G296" s="388"/>
    </row>
    <row r="297" spans="1:7" ht="15.6">
      <c r="A297" s="385">
        <v>130107</v>
      </c>
      <c r="B297" s="386" t="s">
        <v>2302</v>
      </c>
      <c r="C297" s="386" t="s">
        <v>206</v>
      </c>
      <c r="D297" s="387">
        <v>1231611000</v>
      </c>
      <c r="G297" s="388"/>
    </row>
    <row r="298" spans="1:7" ht="15.6">
      <c r="A298" s="385">
        <v>130108</v>
      </c>
      <c r="B298" s="386" t="s">
        <v>2303</v>
      </c>
      <c r="C298" s="386" t="s">
        <v>206</v>
      </c>
      <c r="D298" s="387">
        <v>1259908000</v>
      </c>
      <c r="G298" s="388"/>
    </row>
    <row r="299" spans="1:7" ht="15.6">
      <c r="A299" s="385">
        <v>130109</v>
      </c>
      <c r="B299" s="386" t="s">
        <v>2304</v>
      </c>
      <c r="C299" s="386" t="s">
        <v>206</v>
      </c>
      <c r="D299" s="387">
        <v>1555251000</v>
      </c>
      <c r="G299" s="388"/>
    </row>
    <row r="300" spans="1:7" ht="15.6">
      <c r="A300" s="385">
        <v>130110</v>
      </c>
      <c r="B300" s="386" t="s">
        <v>2305</v>
      </c>
      <c r="C300" s="386" t="s">
        <v>206</v>
      </c>
      <c r="D300" s="387">
        <v>1791903000</v>
      </c>
      <c r="G300" s="388"/>
    </row>
    <row r="301" spans="1:7" ht="15.6">
      <c r="A301" s="385">
        <v>130111</v>
      </c>
      <c r="B301" s="386" t="s">
        <v>2306</v>
      </c>
      <c r="C301" s="386" t="s">
        <v>206</v>
      </c>
      <c r="D301" s="387">
        <v>1887378000</v>
      </c>
      <c r="G301" s="388"/>
    </row>
    <row r="302" spans="1:7" ht="15.6">
      <c r="A302" s="385">
        <v>130112</v>
      </c>
      <c r="B302" s="386" t="s">
        <v>2307</v>
      </c>
      <c r="C302" s="386" t="s">
        <v>206</v>
      </c>
      <c r="D302" s="387">
        <v>2258204000</v>
      </c>
      <c r="G302" s="388"/>
    </row>
    <row r="303" spans="1:7" ht="15.6">
      <c r="A303" s="385">
        <v>130113</v>
      </c>
      <c r="B303" s="386" t="s">
        <v>2308</v>
      </c>
      <c r="C303" s="386" t="s">
        <v>206</v>
      </c>
      <c r="D303" s="387">
        <v>2725529000</v>
      </c>
      <c r="G303" s="388"/>
    </row>
    <row r="304" spans="1:7" ht="15.6">
      <c r="A304" s="385">
        <v>130114</v>
      </c>
      <c r="B304" s="386" t="s">
        <v>2309</v>
      </c>
      <c r="C304" s="386" t="s">
        <v>206</v>
      </c>
      <c r="D304" s="387">
        <v>3277255000</v>
      </c>
      <c r="G304" s="388"/>
    </row>
    <row r="305" spans="1:7" ht="27.6">
      <c r="A305" s="385">
        <v>140101</v>
      </c>
      <c r="B305" s="386" t="s">
        <v>2310</v>
      </c>
      <c r="C305" s="386" t="s">
        <v>206</v>
      </c>
      <c r="D305" s="387">
        <v>6941000</v>
      </c>
      <c r="G305" s="388"/>
    </row>
    <row r="306" spans="1:7" ht="27.6">
      <c r="A306" s="385">
        <v>140102</v>
      </c>
      <c r="B306" s="386" t="s">
        <v>2311</v>
      </c>
      <c r="C306" s="386" t="s">
        <v>206</v>
      </c>
      <c r="D306" s="387">
        <v>8006000</v>
      </c>
      <c r="G306" s="388"/>
    </row>
    <row r="307" spans="1:7" ht="27.6">
      <c r="A307" s="385">
        <v>140103</v>
      </c>
      <c r="B307" s="386" t="s">
        <v>2312</v>
      </c>
      <c r="C307" s="386" t="s">
        <v>206</v>
      </c>
      <c r="D307" s="387">
        <v>10335000</v>
      </c>
      <c r="G307" s="388"/>
    </row>
    <row r="308" spans="1:7" ht="27.6">
      <c r="A308" s="385">
        <v>140104</v>
      </c>
      <c r="B308" s="386" t="s">
        <v>2313</v>
      </c>
      <c r="C308" s="386" t="s">
        <v>206</v>
      </c>
      <c r="D308" s="387">
        <v>17351000</v>
      </c>
      <c r="G308" s="388"/>
    </row>
    <row r="309" spans="1:7" ht="27.6">
      <c r="A309" s="385">
        <v>140105</v>
      </c>
      <c r="B309" s="386" t="s">
        <v>2314</v>
      </c>
      <c r="C309" s="386" t="s">
        <v>206</v>
      </c>
      <c r="D309" s="387">
        <v>42671000</v>
      </c>
      <c r="G309" s="388"/>
    </row>
    <row r="310" spans="1:7" ht="27.6">
      <c r="A310" s="385">
        <v>140106</v>
      </c>
      <c r="B310" s="386" t="s">
        <v>2315</v>
      </c>
      <c r="C310" s="386" t="s">
        <v>206</v>
      </c>
      <c r="D310" s="387">
        <v>79456000</v>
      </c>
      <c r="G310" s="388"/>
    </row>
    <row r="311" spans="1:7" ht="27.6">
      <c r="A311" s="385">
        <v>140201</v>
      </c>
      <c r="B311" s="386" t="s">
        <v>2316</v>
      </c>
      <c r="C311" s="386" t="s">
        <v>206</v>
      </c>
      <c r="D311" s="387">
        <v>13165000</v>
      </c>
      <c r="G311" s="388"/>
    </row>
    <row r="312" spans="1:7" ht="27.6">
      <c r="A312" s="385">
        <v>140202</v>
      </c>
      <c r="B312" s="386" t="s">
        <v>2317</v>
      </c>
      <c r="C312" s="386" t="s">
        <v>206</v>
      </c>
      <c r="D312" s="387">
        <v>13914000</v>
      </c>
      <c r="G312" s="388"/>
    </row>
    <row r="313" spans="1:7" ht="27.6">
      <c r="A313" s="385">
        <v>140203</v>
      </c>
      <c r="B313" s="386" t="s">
        <v>2318</v>
      </c>
      <c r="C313" s="386" t="s">
        <v>206</v>
      </c>
      <c r="D313" s="387">
        <v>17110000</v>
      </c>
      <c r="G313" s="388"/>
    </row>
    <row r="314" spans="1:7" ht="27.6">
      <c r="A314" s="385">
        <v>140204</v>
      </c>
      <c r="B314" s="386" t="s">
        <v>2319</v>
      </c>
      <c r="C314" s="386" t="s">
        <v>206</v>
      </c>
      <c r="D314" s="387">
        <v>25889000</v>
      </c>
      <c r="G314" s="388"/>
    </row>
    <row r="315" spans="1:7" ht="27.6">
      <c r="A315" s="385">
        <v>140205</v>
      </c>
      <c r="B315" s="386" t="s">
        <v>2320</v>
      </c>
      <c r="C315" s="386" t="s">
        <v>206</v>
      </c>
      <c r="D315" s="387">
        <v>38065000</v>
      </c>
      <c r="G315" s="388"/>
    </row>
    <row r="316" spans="1:7" ht="27.6">
      <c r="A316" s="385">
        <v>140206</v>
      </c>
      <c r="B316" s="386" t="s">
        <v>2321</v>
      </c>
      <c r="C316" s="386" t="s">
        <v>206</v>
      </c>
      <c r="D316" s="387">
        <v>86577000</v>
      </c>
      <c r="G316" s="388"/>
    </row>
    <row r="317" spans="1:7" ht="27.6">
      <c r="A317" s="385">
        <v>140207</v>
      </c>
      <c r="B317" s="386" t="s">
        <v>2322</v>
      </c>
      <c r="C317" s="386" t="s">
        <v>206</v>
      </c>
      <c r="D317" s="387">
        <v>138901000</v>
      </c>
      <c r="G317" s="388"/>
    </row>
    <row r="318" spans="1:7" ht="27.6">
      <c r="A318" s="385">
        <v>140208</v>
      </c>
      <c r="B318" s="386" t="s">
        <v>2323</v>
      </c>
      <c r="C318" s="386" t="s">
        <v>206</v>
      </c>
      <c r="D318" s="387">
        <v>177384000</v>
      </c>
      <c r="G318" s="388"/>
    </row>
    <row r="319" spans="1:7" ht="82.8">
      <c r="A319" s="385">
        <v>140301</v>
      </c>
      <c r="B319" s="386" t="s">
        <v>1191</v>
      </c>
      <c r="C319" s="386" t="s">
        <v>2324</v>
      </c>
      <c r="D319" s="387"/>
      <c r="G319" s="388"/>
    </row>
    <row r="320" spans="1:7" ht="82.8">
      <c r="A320" s="385">
        <v>140302</v>
      </c>
      <c r="B320" s="386" t="s">
        <v>1191</v>
      </c>
      <c r="C320" s="386" t="s">
        <v>2324</v>
      </c>
      <c r="D320" s="387"/>
      <c r="G320" s="388"/>
    </row>
    <row r="321" spans="1:7" ht="82.8">
      <c r="A321" s="385">
        <v>140401</v>
      </c>
      <c r="B321" s="386" t="s">
        <v>1191</v>
      </c>
      <c r="C321" s="386" t="s">
        <v>2324</v>
      </c>
      <c r="D321" s="387"/>
      <c r="G321" s="388"/>
    </row>
    <row r="322" spans="1:7" ht="82.8">
      <c r="A322" s="385">
        <v>140402</v>
      </c>
      <c r="B322" s="386" t="s">
        <v>1191</v>
      </c>
      <c r="C322" s="386" t="s">
        <v>2324</v>
      </c>
      <c r="D322" s="387"/>
      <c r="G322" s="388"/>
    </row>
    <row r="323" spans="1:7" ht="82.8">
      <c r="A323" s="385">
        <v>140501</v>
      </c>
      <c r="B323" s="386" t="s">
        <v>1191</v>
      </c>
      <c r="C323" s="386" t="s">
        <v>2324</v>
      </c>
      <c r="D323" s="387"/>
      <c r="G323" s="388"/>
    </row>
    <row r="324" spans="1:7" ht="82.8">
      <c r="A324" s="385">
        <v>140502</v>
      </c>
      <c r="B324" s="386" t="s">
        <v>1191</v>
      </c>
      <c r="C324" s="386" t="s">
        <v>2324</v>
      </c>
      <c r="D324" s="387"/>
      <c r="G324" s="388"/>
    </row>
    <row r="325" spans="1:7" ht="82.8">
      <c r="A325" s="385">
        <v>140503</v>
      </c>
      <c r="B325" s="386" t="s">
        <v>1191</v>
      </c>
      <c r="C325" s="386" t="s">
        <v>2324</v>
      </c>
      <c r="D325" s="387"/>
      <c r="G325" s="388"/>
    </row>
    <row r="326" spans="1:7" ht="138">
      <c r="A326" s="385">
        <v>140504</v>
      </c>
      <c r="B326" s="386" t="s">
        <v>2325</v>
      </c>
      <c r="C326" s="386" t="s">
        <v>2324</v>
      </c>
      <c r="D326" s="387"/>
      <c r="G326" s="388"/>
    </row>
    <row r="327" spans="1:7" ht="69">
      <c r="A327" s="385">
        <v>140505</v>
      </c>
      <c r="B327" s="386" t="s">
        <v>2326</v>
      </c>
      <c r="C327" s="386" t="s">
        <v>242</v>
      </c>
      <c r="D327" s="387"/>
      <c r="G327" s="388"/>
    </row>
    <row r="328" spans="1:7" ht="69">
      <c r="A328" s="385">
        <v>140506</v>
      </c>
      <c r="B328" s="386" t="s">
        <v>2327</v>
      </c>
      <c r="C328" s="386" t="s">
        <v>242</v>
      </c>
      <c r="D328" s="387"/>
      <c r="G328" s="388"/>
    </row>
    <row r="329" spans="1:7" ht="69">
      <c r="A329" s="385">
        <v>140507</v>
      </c>
      <c r="B329" s="386" t="s">
        <v>2328</v>
      </c>
      <c r="C329" s="386" t="s">
        <v>242</v>
      </c>
      <c r="D329" s="387"/>
      <c r="G329" s="388"/>
    </row>
    <row r="330" spans="1:7" ht="69">
      <c r="A330" s="385">
        <v>140508</v>
      </c>
      <c r="B330" s="386" t="s">
        <v>2329</v>
      </c>
      <c r="C330" s="386" t="s">
        <v>242</v>
      </c>
      <c r="D330" s="387"/>
      <c r="G330" s="388"/>
    </row>
    <row r="331" spans="1:7" ht="27.6">
      <c r="A331" s="385">
        <v>150101</v>
      </c>
      <c r="B331" s="386" t="s">
        <v>2330</v>
      </c>
      <c r="C331" s="386" t="s">
        <v>161</v>
      </c>
      <c r="D331" s="387">
        <v>923000</v>
      </c>
      <c r="G331" s="388"/>
    </row>
    <row r="332" spans="1:7" ht="27.6">
      <c r="A332" s="385">
        <v>150102</v>
      </c>
      <c r="B332" s="386" t="s">
        <v>2331</v>
      </c>
      <c r="C332" s="386" t="s">
        <v>161</v>
      </c>
      <c r="D332" s="387">
        <v>951000</v>
      </c>
      <c r="G332" s="388"/>
    </row>
    <row r="333" spans="1:7" ht="41.4">
      <c r="A333" s="385">
        <v>150103</v>
      </c>
      <c r="B333" s="386" t="s">
        <v>2332</v>
      </c>
      <c r="C333" s="386" t="s">
        <v>161</v>
      </c>
      <c r="D333" s="387">
        <v>1106000</v>
      </c>
      <c r="G333" s="388"/>
    </row>
    <row r="334" spans="1:7" ht="27.6">
      <c r="A334" s="385">
        <v>150104</v>
      </c>
      <c r="B334" s="386" t="s">
        <v>2333</v>
      </c>
      <c r="C334" s="386" t="s">
        <v>161</v>
      </c>
      <c r="D334" s="387">
        <v>5043000</v>
      </c>
      <c r="G334" s="388"/>
    </row>
    <row r="335" spans="1:7" ht="27.6">
      <c r="A335" s="385">
        <v>150105</v>
      </c>
      <c r="B335" s="386" t="s">
        <v>2334</v>
      </c>
      <c r="C335" s="386" t="s">
        <v>161</v>
      </c>
      <c r="D335" s="387">
        <v>2856000</v>
      </c>
      <c r="G335" s="388"/>
    </row>
    <row r="336" spans="1:7" ht="27.6">
      <c r="A336" s="385">
        <v>150106</v>
      </c>
      <c r="B336" s="386" t="s">
        <v>2335</v>
      </c>
      <c r="C336" s="386" t="s">
        <v>161</v>
      </c>
      <c r="D336" s="387">
        <v>2905000</v>
      </c>
      <c r="G336" s="388"/>
    </row>
    <row r="337" spans="1:7" ht="41.4">
      <c r="A337" s="385">
        <v>150107</v>
      </c>
      <c r="B337" s="386" t="s">
        <v>2336</v>
      </c>
      <c r="C337" s="386" t="s">
        <v>161</v>
      </c>
      <c r="D337" s="387">
        <v>2870000</v>
      </c>
      <c r="G337" s="388"/>
    </row>
    <row r="338" spans="1:7" ht="41.4">
      <c r="A338" s="385">
        <v>150108</v>
      </c>
      <c r="B338" s="386" t="s">
        <v>2337</v>
      </c>
      <c r="C338" s="386" t="s">
        <v>161</v>
      </c>
      <c r="D338" s="387">
        <v>3119000</v>
      </c>
      <c r="G338" s="388"/>
    </row>
    <row r="339" spans="1:7" ht="27.6">
      <c r="A339" s="385">
        <v>150109</v>
      </c>
      <c r="B339" s="386" t="s">
        <v>2338</v>
      </c>
      <c r="C339" s="386" t="s">
        <v>161</v>
      </c>
      <c r="D339" s="387">
        <v>2538000</v>
      </c>
      <c r="G339" s="388"/>
    </row>
    <row r="340" spans="1:7" ht="27.6">
      <c r="A340" s="385">
        <v>150110</v>
      </c>
      <c r="B340" s="386" t="s">
        <v>2339</v>
      </c>
      <c r="C340" s="386" t="s">
        <v>161</v>
      </c>
      <c r="D340" s="387">
        <v>6670000</v>
      </c>
      <c r="G340" s="388"/>
    </row>
    <row r="341" spans="1:7" ht="27.6">
      <c r="A341" s="385">
        <v>150111</v>
      </c>
      <c r="B341" s="386" t="s">
        <v>2340</v>
      </c>
      <c r="C341" s="386" t="s">
        <v>161</v>
      </c>
      <c r="D341" s="387">
        <v>6670000</v>
      </c>
      <c r="G341" s="388"/>
    </row>
    <row r="342" spans="1:7" ht="27.6">
      <c r="A342" s="385">
        <v>150112</v>
      </c>
      <c r="B342" s="386" t="s">
        <v>2341</v>
      </c>
      <c r="C342" s="386" t="s">
        <v>161</v>
      </c>
      <c r="D342" s="387">
        <v>4303000</v>
      </c>
      <c r="G342" s="388"/>
    </row>
    <row r="343" spans="1:7" ht="27.6">
      <c r="A343" s="385">
        <v>150113</v>
      </c>
      <c r="B343" s="386" t="s">
        <v>2342</v>
      </c>
      <c r="C343" s="386" t="s">
        <v>161</v>
      </c>
      <c r="D343" s="387">
        <v>4168000</v>
      </c>
      <c r="G343" s="388"/>
    </row>
    <row r="344" spans="1:7" ht="27.6">
      <c r="A344" s="385">
        <v>150114</v>
      </c>
      <c r="B344" s="386" t="s">
        <v>2343</v>
      </c>
      <c r="C344" s="386" t="s">
        <v>161</v>
      </c>
      <c r="D344" s="387">
        <v>2991000</v>
      </c>
      <c r="G344" s="388"/>
    </row>
    <row r="345" spans="1:7" ht="41.4">
      <c r="A345" s="385">
        <v>150115</v>
      </c>
      <c r="B345" s="386" t="s">
        <v>2344</v>
      </c>
      <c r="C345" s="386" t="s">
        <v>161</v>
      </c>
      <c r="D345" s="387">
        <v>3950000</v>
      </c>
      <c r="G345" s="388"/>
    </row>
    <row r="346" spans="1:7" ht="15.6">
      <c r="A346" s="385">
        <v>150201</v>
      </c>
      <c r="B346" s="386" t="s">
        <v>2345</v>
      </c>
      <c r="C346" s="386" t="s">
        <v>161</v>
      </c>
      <c r="D346" s="387">
        <v>3819000</v>
      </c>
      <c r="G346" s="388"/>
    </row>
    <row r="347" spans="1:7" ht="15.6">
      <c r="A347" s="385">
        <v>150202</v>
      </c>
      <c r="B347" s="386" t="s">
        <v>2346</v>
      </c>
      <c r="C347" s="386" t="s">
        <v>161</v>
      </c>
      <c r="D347" s="387">
        <v>10510000</v>
      </c>
      <c r="G347" s="388"/>
    </row>
    <row r="348" spans="1:7" ht="15.6">
      <c r="A348" s="385">
        <v>150301</v>
      </c>
      <c r="B348" s="386" t="s">
        <v>2347</v>
      </c>
      <c r="C348" s="386" t="s">
        <v>161</v>
      </c>
      <c r="D348" s="387">
        <v>976000</v>
      </c>
      <c r="G348" s="388"/>
    </row>
    <row r="349" spans="1:7" ht="15.6">
      <c r="A349" s="385">
        <v>150302</v>
      </c>
      <c r="B349" s="386" t="s">
        <v>2348</v>
      </c>
      <c r="C349" s="386" t="s">
        <v>161</v>
      </c>
      <c r="D349" s="387">
        <v>958000</v>
      </c>
      <c r="G349" s="388"/>
    </row>
    <row r="350" spans="1:7" ht="15.6">
      <c r="A350" s="385">
        <v>150303</v>
      </c>
      <c r="B350" s="386" t="s">
        <v>2349</v>
      </c>
      <c r="C350" s="386" t="s">
        <v>161</v>
      </c>
      <c r="D350" s="387">
        <v>1006000</v>
      </c>
      <c r="G350" s="388"/>
    </row>
    <row r="351" spans="1:7" ht="15.6">
      <c r="A351" s="385">
        <v>150304</v>
      </c>
      <c r="B351" s="386" t="s">
        <v>2350</v>
      </c>
      <c r="C351" s="386" t="s">
        <v>161</v>
      </c>
      <c r="D351" s="387">
        <v>1799000</v>
      </c>
      <c r="G351" s="388"/>
    </row>
    <row r="352" spans="1:7" ht="15.6">
      <c r="A352" s="385">
        <v>150305</v>
      </c>
      <c r="B352" s="386" t="s">
        <v>2351</v>
      </c>
      <c r="C352" s="386" t="s">
        <v>161</v>
      </c>
      <c r="D352" s="387">
        <v>5774000</v>
      </c>
      <c r="G352" s="388"/>
    </row>
    <row r="353" spans="1:7" ht="15.6">
      <c r="A353" s="385">
        <v>150306</v>
      </c>
      <c r="B353" s="386" t="s">
        <v>2352</v>
      </c>
      <c r="C353" s="386" t="s">
        <v>161</v>
      </c>
      <c r="D353" s="387">
        <v>9477000</v>
      </c>
      <c r="G353" s="388"/>
    </row>
    <row r="354" spans="1:7" ht="15.6">
      <c r="A354" s="385">
        <v>150307</v>
      </c>
      <c r="B354" s="386" t="s">
        <v>2353</v>
      </c>
      <c r="C354" s="386" t="s">
        <v>161</v>
      </c>
      <c r="D354" s="387">
        <v>20950000</v>
      </c>
      <c r="G354" s="388"/>
    </row>
    <row r="355" spans="1:7" ht="15.6">
      <c r="A355" s="385">
        <v>150308</v>
      </c>
      <c r="B355" s="386" t="s">
        <v>2354</v>
      </c>
      <c r="C355" s="386" t="s">
        <v>161</v>
      </c>
      <c r="D355" s="387">
        <v>13422000</v>
      </c>
      <c r="G355" s="388"/>
    </row>
    <row r="356" spans="1:7" ht="27.6">
      <c r="A356" s="385">
        <v>150401</v>
      </c>
      <c r="B356" s="386" t="s">
        <v>2355</v>
      </c>
      <c r="C356" s="386" t="s">
        <v>161</v>
      </c>
      <c r="D356" s="387">
        <v>9272000</v>
      </c>
      <c r="G356" s="388"/>
    </row>
    <row r="357" spans="1:7" ht="27.6">
      <c r="A357" s="385">
        <v>150402</v>
      </c>
      <c r="B357" s="386" t="s">
        <v>2356</v>
      </c>
      <c r="C357" s="386" t="s">
        <v>161</v>
      </c>
      <c r="D357" s="387">
        <v>9272000</v>
      </c>
      <c r="G357" s="388"/>
    </row>
    <row r="358" spans="1:7" ht="27.6">
      <c r="A358" s="385">
        <v>150403</v>
      </c>
      <c r="B358" s="386" t="s">
        <v>2357</v>
      </c>
      <c r="C358" s="386" t="s">
        <v>161</v>
      </c>
      <c r="D358" s="387">
        <v>9069000</v>
      </c>
      <c r="G358" s="388"/>
    </row>
    <row r="359" spans="1:7" ht="15.6">
      <c r="A359" s="385">
        <v>150404</v>
      </c>
      <c r="B359" s="386" t="s">
        <v>2358</v>
      </c>
      <c r="C359" s="386" t="s">
        <v>161</v>
      </c>
      <c r="D359" s="387">
        <v>10696000</v>
      </c>
      <c r="G359" s="388"/>
    </row>
    <row r="360" spans="1:7" ht="15.6">
      <c r="A360" s="385">
        <v>150405</v>
      </c>
      <c r="B360" s="386" t="s">
        <v>2359</v>
      </c>
      <c r="C360" s="386" t="s">
        <v>161</v>
      </c>
      <c r="D360" s="387">
        <v>6567000</v>
      </c>
      <c r="G360" s="388"/>
    </row>
    <row r="361" spans="1:7" ht="15.6">
      <c r="A361" s="385">
        <v>150501</v>
      </c>
      <c r="B361" s="386" t="s">
        <v>2360</v>
      </c>
      <c r="C361" s="386" t="s">
        <v>161</v>
      </c>
      <c r="D361" s="387">
        <v>4245000</v>
      </c>
      <c r="G361" s="388"/>
    </row>
    <row r="362" spans="1:7" ht="27.6">
      <c r="A362" s="385">
        <v>150502</v>
      </c>
      <c r="B362" s="386" t="s">
        <v>2361</v>
      </c>
      <c r="C362" s="386" t="s">
        <v>161</v>
      </c>
      <c r="D362" s="387">
        <v>4343000</v>
      </c>
      <c r="G362" s="388"/>
    </row>
    <row r="363" spans="1:7" ht="15.6">
      <c r="A363" s="385">
        <v>150503</v>
      </c>
      <c r="B363" s="386" t="s">
        <v>2362</v>
      </c>
      <c r="C363" s="386" t="s">
        <v>161</v>
      </c>
      <c r="D363" s="387">
        <v>4228000</v>
      </c>
      <c r="G363" s="388"/>
    </row>
    <row r="364" spans="1:7" ht="15.6">
      <c r="A364" s="385">
        <v>150601</v>
      </c>
      <c r="B364" s="386" t="s">
        <v>2363</v>
      </c>
      <c r="C364" s="386" t="s">
        <v>161</v>
      </c>
      <c r="D364" s="387">
        <v>203500</v>
      </c>
      <c r="G364" s="388"/>
    </row>
    <row r="365" spans="1:7" ht="15.6">
      <c r="A365" s="385">
        <v>150602</v>
      </c>
      <c r="B365" s="386" t="s">
        <v>2364</v>
      </c>
      <c r="C365" s="386" t="s">
        <v>161</v>
      </c>
      <c r="D365" s="387">
        <v>968500</v>
      </c>
      <c r="G365" s="388"/>
    </row>
    <row r="366" spans="1:7" ht="15.6">
      <c r="A366" s="385">
        <v>150603</v>
      </c>
      <c r="B366" s="386" t="s">
        <v>2365</v>
      </c>
      <c r="C366" s="386" t="s">
        <v>161</v>
      </c>
      <c r="D366" s="387">
        <v>4680000</v>
      </c>
      <c r="G366" s="388"/>
    </row>
    <row r="367" spans="1:7" ht="15.6">
      <c r="A367" s="385">
        <v>150604</v>
      </c>
      <c r="B367" s="386" t="s">
        <v>2366</v>
      </c>
      <c r="C367" s="386" t="s">
        <v>161</v>
      </c>
      <c r="D367" s="387">
        <v>338000</v>
      </c>
      <c r="G367" s="388"/>
    </row>
    <row r="368" spans="1:7" ht="15.6">
      <c r="A368" s="385">
        <v>150605</v>
      </c>
      <c r="B368" s="386" t="s">
        <v>2367</v>
      </c>
      <c r="C368" s="386" t="s">
        <v>161</v>
      </c>
      <c r="D368" s="387">
        <v>2161000</v>
      </c>
      <c r="G368" s="388"/>
    </row>
    <row r="369" spans="1:7" ht="15.6">
      <c r="A369" s="385">
        <v>150606</v>
      </c>
      <c r="B369" s="386" t="s">
        <v>2368</v>
      </c>
      <c r="C369" s="386" t="s">
        <v>161</v>
      </c>
      <c r="D369" s="387">
        <v>3123000</v>
      </c>
      <c r="G369" s="388"/>
    </row>
    <row r="370" spans="1:7" ht="27.6">
      <c r="A370" s="385">
        <v>150701</v>
      </c>
      <c r="B370" s="386" t="s">
        <v>2369</v>
      </c>
      <c r="C370" s="386" t="s">
        <v>161</v>
      </c>
      <c r="D370" s="387">
        <v>5614000</v>
      </c>
      <c r="G370" s="388"/>
    </row>
    <row r="371" spans="1:7" ht="15.6">
      <c r="A371" s="385">
        <v>150801</v>
      </c>
      <c r="B371" s="386" t="s">
        <v>2370</v>
      </c>
      <c r="C371" s="386" t="s">
        <v>161</v>
      </c>
      <c r="D371" s="387">
        <v>4608000</v>
      </c>
      <c r="G371" s="388"/>
    </row>
    <row r="372" spans="1:7" ht="15.6">
      <c r="A372" s="385">
        <v>150802</v>
      </c>
      <c r="B372" s="386" t="s">
        <v>2371</v>
      </c>
      <c r="C372" s="386" t="s">
        <v>161</v>
      </c>
      <c r="D372" s="387">
        <v>8056000</v>
      </c>
      <c r="G372" s="388"/>
    </row>
    <row r="373" spans="1:7" ht="27.6">
      <c r="A373" s="385">
        <v>150803</v>
      </c>
      <c r="B373" s="386" t="s">
        <v>2372</v>
      </c>
      <c r="C373" s="386" t="s">
        <v>161</v>
      </c>
      <c r="D373" s="387">
        <v>2672000</v>
      </c>
      <c r="G373" s="388"/>
    </row>
    <row r="374" spans="1:7" ht="27.6">
      <c r="A374" s="385">
        <v>150804</v>
      </c>
      <c r="B374" s="386" t="s">
        <v>2373</v>
      </c>
      <c r="C374" s="386" t="s">
        <v>161</v>
      </c>
      <c r="D374" s="387">
        <v>8422000</v>
      </c>
      <c r="G374" s="388"/>
    </row>
    <row r="375" spans="1:7" ht="15.6">
      <c r="A375" s="385">
        <v>150805</v>
      </c>
      <c r="B375" s="386" t="s">
        <v>2374</v>
      </c>
      <c r="C375" s="386" t="s">
        <v>161</v>
      </c>
      <c r="D375" s="387">
        <v>5537000</v>
      </c>
      <c r="G375" s="388"/>
    </row>
    <row r="376" spans="1:7" ht="15.6">
      <c r="A376" s="385">
        <v>150901</v>
      </c>
      <c r="B376" s="386" t="s">
        <v>2375</v>
      </c>
      <c r="C376" s="386" t="s">
        <v>161</v>
      </c>
      <c r="D376" s="387">
        <v>3474000</v>
      </c>
      <c r="G376" s="388"/>
    </row>
    <row r="377" spans="1:7" ht="15.6">
      <c r="A377" s="385">
        <v>150902</v>
      </c>
      <c r="B377" s="386" t="s">
        <v>2376</v>
      </c>
      <c r="C377" s="386" t="s">
        <v>161</v>
      </c>
      <c r="D377" s="387">
        <v>3468000</v>
      </c>
      <c r="G377" s="388"/>
    </row>
    <row r="378" spans="1:7" ht="15.6">
      <c r="A378" s="385">
        <v>151001</v>
      </c>
      <c r="B378" s="386" t="s">
        <v>2377</v>
      </c>
      <c r="C378" s="386" t="s">
        <v>161</v>
      </c>
      <c r="D378" s="387">
        <v>2915000</v>
      </c>
      <c r="G378" s="388"/>
    </row>
    <row r="379" spans="1:7" ht="15.6">
      <c r="A379" s="385">
        <v>151002</v>
      </c>
      <c r="B379" s="386" t="s">
        <v>2378</v>
      </c>
      <c r="C379" s="386" t="s">
        <v>161</v>
      </c>
      <c r="D379" s="387">
        <v>5368000</v>
      </c>
      <c r="G379" s="388"/>
    </row>
    <row r="380" spans="1:7" ht="27.6">
      <c r="A380" s="385">
        <v>151003</v>
      </c>
      <c r="B380" s="386" t="s">
        <v>2379</v>
      </c>
      <c r="C380" s="386" t="s">
        <v>161</v>
      </c>
      <c r="D380" s="387">
        <v>1191000</v>
      </c>
      <c r="G380" s="388"/>
    </row>
    <row r="381" spans="1:7" ht="27.6">
      <c r="A381" s="385">
        <v>151004</v>
      </c>
      <c r="B381" s="386" t="s">
        <v>2380</v>
      </c>
      <c r="C381" s="386" t="s">
        <v>161</v>
      </c>
      <c r="D381" s="387">
        <v>4548000</v>
      </c>
      <c r="G381" s="388"/>
    </row>
    <row r="382" spans="1:7" ht="27.6">
      <c r="A382" s="385">
        <v>151101</v>
      </c>
      <c r="B382" s="386" t="s">
        <v>2381</v>
      </c>
      <c r="C382" s="386" t="s">
        <v>161</v>
      </c>
      <c r="D382" s="387">
        <v>4483000</v>
      </c>
      <c r="G382" s="388"/>
    </row>
    <row r="383" spans="1:7" ht="27.6">
      <c r="A383" s="385">
        <v>151102</v>
      </c>
      <c r="B383" s="386" t="s">
        <v>2382</v>
      </c>
      <c r="C383" s="386" t="s">
        <v>161</v>
      </c>
      <c r="D383" s="387">
        <v>6550000</v>
      </c>
      <c r="G383" s="388"/>
    </row>
    <row r="384" spans="1:7" ht="27.6">
      <c r="A384" s="385">
        <v>151103</v>
      </c>
      <c r="B384" s="386" t="s">
        <v>2383</v>
      </c>
      <c r="C384" s="386" t="s">
        <v>161</v>
      </c>
      <c r="D384" s="387">
        <v>10399000</v>
      </c>
      <c r="G384" s="388"/>
    </row>
    <row r="385" spans="1:7" ht="27.6">
      <c r="A385" s="385">
        <v>151104</v>
      </c>
      <c r="B385" s="386" t="s">
        <v>2384</v>
      </c>
      <c r="C385" s="386" t="s">
        <v>161</v>
      </c>
      <c r="D385" s="387">
        <v>7934000</v>
      </c>
      <c r="G385" s="388"/>
    </row>
    <row r="386" spans="1:7" ht="27.6">
      <c r="A386" s="385">
        <v>151105</v>
      </c>
      <c r="B386" s="386" t="s">
        <v>2385</v>
      </c>
      <c r="C386" s="386" t="s">
        <v>161</v>
      </c>
      <c r="D386" s="387">
        <v>5411000</v>
      </c>
      <c r="G386" s="388"/>
    </row>
    <row r="387" spans="1:7" ht="27.6">
      <c r="A387" s="385">
        <v>151106</v>
      </c>
      <c r="B387" s="386" t="s">
        <v>2386</v>
      </c>
      <c r="C387" s="386" t="s">
        <v>161</v>
      </c>
      <c r="D387" s="387">
        <v>7744000</v>
      </c>
      <c r="G387" s="388"/>
    </row>
    <row r="388" spans="1:7" ht="27.6">
      <c r="A388" s="385">
        <v>151107</v>
      </c>
      <c r="B388" s="386" t="s">
        <v>2387</v>
      </c>
      <c r="C388" s="386" t="s">
        <v>161</v>
      </c>
      <c r="D388" s="387">
        <v>12262000</v>
      </c>
      <c r="G388" s="388"/>
    </row>
    <row r="389" spans="1:7" ht="27.6">
      <c r="A389" s="385">
        <v>151108</v>
      </c>
      <c r="B389" s="386" t="s">
        <v>2388</v>
      </c>
      <c r="C389" s="386" t="s">
        <v>161</v>
      </c>
      <c r="D389" s="387">
        <v>7934000</v>
      </c>
      <c r="G389" s="388"/>
    </row>
    <row r="390" spans="1:7" ht="15.6">
      <c r="A390" s="385">
        <v>151201</v>
      </c>
      <c r="B390" s="386" t="s">
        <v>2389</v>
      </c>
      <c r="C390" s="386" t="s">
        <v>161</v>
      </c>
      <c r="D390" s="387">
        <v>4181000</v>
      </c>
      <c r="G390" s="388"/>
    </row>
    <row r="391" spans="1:7" ht="15.6">
      <c r="A391" s="385">
        <v>151202</v>
      </c>
      <c r="B391" s="386" t="s">
        <v>2390</v>
      </c>
      <c r="C391" s="386" t="s">
        <v>161</v>
      </c>
      <c r="D391" s="387">
        <v>4408000</v>
      </c>
      <c r="G391" s="388"/>
    </row>
    <row r="392" spans="1:7" ht="15.6">
      <c r="A392" s="385">
        <v>151203</v>
      </c>
      <c r="B392" s="386" t="s">
        <v>2391</v>
      </c>
      <c r="C392" s="386" t="s">
        <v>161</v>
      </c>
      <c r="D392" s="387">
        <v>4638000</v>
      </c>
      <c r="G392" s="388"/>
    </row>
    <row r="393" spans="1:7" ht="15.6">
      <c r="A393" s="385">
        <v>151204</v>
      </c>
      <c r="B393" s="386" t="s">
        <v>2392</v>
      </c>
      <c r="C393" s="386" t="s">
        <v>161</v>
      </c>
      <c r="D393" s="387">
        <v>5353000</v>
      </c>
      <c r="G393" s="388"/>
    </row>
    <row r="394" spans="1:7" ht="15.6">
      <c r="A394" s="385">
        <v>151205</v>
      </c>
      <c r="B394" s="386" t="s">
        <v>2393</v>
      </c>
      <c r="C394" s="386" t="s">
        <v>161</v>
      </c>
      <c r="D394" s="387">
        <v>6267000</v>
      </c>
      <c r="G394" s="388"/>
    </row>
    <row r="395" spans="1:7" ht="15.6">
      <c r="A395" s="385">
        <v>151206</v>
      </c>
      <c r="B395" s="386" t="s">
        <v>2394</v>
      </c>
      <c r="C395" s="386" t="s">
        <v>161</v>
      </c>
      <c r="D395" s="387">
        <v>7869000</v>
      </c>
      <c r="G395" s="388"/>
    </row>
    <row r="396" spans="1:7" ht="15.6">
      <c r="A396" s="385">
        <v>151207</v>
      </c>
      <c r="B396" s="386" t="s">
        <v>2395</v>
      </c>
      <c r="C396" s="386" t="s">
        <v>161</v>
      </c>
      <c r="D396" s="387">
        <v>33043000</v>
      </c>
      <c r="G396" s="388"/>
    </row>
    <row r="397" spans="1:7" ht="15.6">
      <c r="A397" s="385">
        <v>151208</v>
      </c>
      <c r="B397" s="386" t="s">
        <v>2396</v>
      </c>
      <c r="C397" s="386" t="s">
        <v>161</v>
      </c>
      <c r="D397" s="387">
        <v>46319000</v>
      </c>
      <c r="G397" s="388"/>
    </row>
    <row r="398" spans="1:7" ht="15.6">
      <c r="A398" s="385">
        <v>151209</v>
      </c>
      <c r="B398" s="386" t="s">
        <v>2397</v>
      </c>
      <c r="C398" s="386" t="s">
        <v>161</v>
      </c>
      <c r="D398" s="387">
        <v>52159000</v>
      </c>
      <c r="G398" s="388"/>
    </row>
    <row r="399" spans="1:7" ht="15.6">
      <c r="A399" s="385">
        <v>151301</v>
      </c>
      <c r="B399" s="386" t="s">
        <v>2398</v>
      </c>
      <c r="C399" s="386" t="s">
        <v>161</v>
      </c>
      <c r="D399" s="387">
        <v>3922000</v>
      </c>
      <c r="G399" s="388"/>
    </row>
    <row r="400" spans="1:7" ht="15.6">
      <c r="A400" s="385">
        <v>151302</v>
      </c>
      <c r="B400" s="386" t="s">
        <v>2399</v>
      </c>
      <c r="C400" s="386" t="s">
        <v>161</v>
      </c>
      <c r="D400" s="387">
        <v>4094000</v>
      </c>
      <c r="G400" s="388"/>
    </row>
    <row r="401" spans="1:7" ht="15.6">
      <c r="A401" s="385">
        <v>151303</v>
      </c>
      <c r="B401" s="386" t="s">
        <v>2400</v>
      </c>
      <c r="C401" s="386" t="s">
        <v>161</v>
      </c>
      <c r="D401" s="387">
        <v>4266000</v>
      </c>
      <c r="G401" s="388"/>
    </row>
    <row r="402" spans="1:7" ht="15.6">
      <c r="A402" s="385">
        <v>151304</v>
      </c>
      <c r="B402" s="386" t="s">
        <v>2401</v>
      </c>
      <c r="C402" s="386" t="s">
        <v>161</v>
      </c>
      <c r="D402" s="387">
        <v>4924000</v>
      </c>
      <c r="G402" s="388"/>
    </row>
    <row r="403" spans="1:7" ht="15.6">
      <c r="A403" s="385">
        <v>151305</v>
      </c>
      <c r="B403" s="386" t="s">
        <v>2402</v>
      </c>
      <c r="C403" s="386" t="s">
        <v>161</v>
      </c>
      <c r="D403" s="387">
        <v>5810000</v>
      </c>
      <c r="G403" s="388"/>
    </row>
    <row r="404" spans="1:7" ht="15.6">
      <c r="A404" s="385">
        <v>151306</v>
      </c>
      <c r="B404" s="386" t="s">
        <v>2403</v>
      </c>
      <c r="C404" s="386" t="s">
        <v>161</v>
      </c>
      <c r="D404" s="387">
        <v>7212000</v>
      </c>
      <c r="G404" s="388"/>
    </row>
    <row r="405" spans="1:7" ht="15.6">
      <c r="A405" s="385">
        <v>151307</v>
      </c>
      <c r="B405" s="386" t="s">
        <v>2404</v>
      </c>
      <c r="C405" s="386" t="s">
        <v>161</v>
      </c>
      <c r="D405" s="387">
        <v>29254000</v>
      </c>
      <c r="G405" s="388"/>
    </row>
    <row r="406" spans="1:7" ht="15.6">
      <c r="A406" s="385">
        <v>151308</v>
      </c>
      <c r="B406" s="386" t="s">
        <v>2405</v>
      </c>
      <c r="C406" s="386" t="s">
        <v>161</v>
      </c>
      <c r="D406" s="387">
        <v>40312000</v>
      </c>
      <c r="G406" s="388"/>
    </row>
    <row r="407" spans="1:7" ht="15.6">
      <c r="A407" s="385">
        <v>151309</v>
      </c>
      <c r="B407" s="386" t="s">
        <v>2406</v>
      </c>
      <c r="C407" s="386" t="s">
        <v>161</v>
      </c>
      <c r="D407" s="387">
        <v>70389000</v>
      </c>
      <c r="G407" s="388"/>
    </row>
    <row r="408" spans="1:7" ht="15.6">
      <c r="A408" s="385">
        <v>151401</v>
      </c>
      <c r="B408" s="386" t="s">
        <v>2407</v>
      </c>
      <c r="C408" s="386" t="s">
        <v>161</v>
      </c>
      <c r="D408" s="387">
        <v>10097000</v>
      </c>
      <c r="G408" s="388"/>
    </row>
    <row r="409" spans="1:7" ht="15.6">
      <c r="A409" s="385">
        <v>151402</v>
      </c>
      <c r="B409" s="386" t="s">
        <v>2408</v>
      </c>
      <c r="C409" s="386" t="s">
        <v>161</v>
      </c>
      <c r="D409" s="387">
        <v>18640000</v>
      </c>
      <c r="G409" s="388"/>
    </row>
    <row r="410" spans="1:7" ht="27.6">
      <c r="A410" s="385">
        <v>151501</v>
      </c>
      <c r="B410" s="386" t="s">
        <v>2409</v>
      </c>
      <c r="C410" s="386" t="s">
        <v>161</v>
      </c>
      <c r="D410" s="387">
        <v>39274000</v>
      </c>
      <c r="G410" s="388"/>
    </row>
    <row r="411" spans="1:7" ht="27.6">
      <c r="A411" s="385">
        <v>151502</v>
      </c>
      <c r="B411" s="386" t="s">
        <v>2410</v>
      </c>
      <c r="C411" s="386" t="s">
        <v>161</v>
      </c>
      <c r="D411" s="387">
        <v>39274000</v>
      </c>
      <c r="G411" s="388"/>
    </row>
    <row r="412" spans="1:7" ht="27.6">
      <c r="A412" s="385">
        <v>151503</v>
      </c>
      <c r="B412" s="386" t="s">
        <v>2411</v>
      </c>
      <c r="C412" s="386" t="s">
        <v>161</v>
      </c>
      <c r="D412" s="387">
        <v>41087000</v>
      </c>
      <c r="G412" s="388"/>
    </row>
    <row r="413" spans="1:7" ht="27.6">
      <c r="A413" s="385">
        <v>151504</v>
      </c>
      <c r="B413" s="386" t="s">
        <v>2412</v>
      </c>
      <c r="C413" s="386" t="s">
        <v>161</v>
      </c>
      <c r="D413" s="387">
        <v>41583000</v>
      </c>
      <c r="G413" s="388"/>
    </row>
    <row r="414" spans="1:7" ht="27.6">
      <c r="A414" s="385">
        <v>151505</v>
      </c>
      <c r="B414" s="386" t="s">
        <v>2413</v>
      </c>
      <c r="C414" s="386" t="s">
        <v>161</v>
      </c>
      <c r="D414" s="387">
        <v>42209000</v>
      </c>
      <c r="G414" s="388"/>
    </row>
    <row r="415" spans="1:7" ht="27.6">
      <c r="A415" s="385">
        <v>151506</v>
      </c>
      <c r="B415" s="386" t="s">
        <v>2414</v>
      </c>
      <c r="C415" s="386" t="s">
        <v>161</v>
      </c>
      <c r="D415" s="387">
        <v>44356000</v>
      </c>
      <c r="G415" s="388"/>
    </row>
    <row r="416" spans="1:7" ht="27.6">
      <c r="A416" s="385">
        <v>151507</v>
      </c>
      <c r="B416" s="386" t="s">
        <v>2415</v>
      </c>
      <c r="C416" s="386" t="s">
        <v>161</v>
      </c>
      <c r="D416" s="387">
        <v>44784000</v>
      </c>
      <c r="G416" s="388"/>
    </row>
    <row r="417" spans="1:7" ht="27.6">
      <c r="A417" s="385">
        <v>151601</v>
      </c>
      <c r="B417" s="386" t="s">
        <v>2416</v>
      </c>
      <c r="C417" s="386" t="s">
        <v>161</v>
      </c>
      <c r="D417" s="387">
        <v>3339000</v>
      </c>
      <c r="G417" s="388"/>
    </row>
    <row r="418" spans="1:7" ht="15.6">
      <c r="A418" s="385">
        <v>151602</v>
      </c>
      <c r="B418" s="386" t="s">
        <v>2417</v>
      </c>
      <c r="C418" s="386" t="s">
        <v>161</v>
      </c>
      <c r="D418" s="387">
        <v>4344000</v>
      </c>
      <c r="G418" s="388"/>
    </row>
    <row r="419" spans="1:7" ht="27.6">
      <c r="A419" s="385">
        <v>151701</v>
      </c>
      <c r="B419" s="386" t="s">
        <v>2418</v>
      </c>
      <c r="C419" s="386" t="s">
        <v>161</v>
      </c>
      <c r="D419" s="387">
        <v>2704000</v>
      </c>
      <c r="G419" s="388"/>
    </row>
    <row r="420" spans="1:7" ht="27.6">
      <c r="A420" s="385">
        <v>151702</v>
      </c>
      <c r="B420" s="386" t="s">
        <v>2419</v>
      </c>
      <c r="C420" s="386" t="s">
        <v>161</v>
      </c>
      <c r="D420" s="387">
        <v>2914000</v>
      </c>
      <c r="G420" s="388"/>
    </row>
    <row r="421" spans="1:7" ht="41.4">
      <c r="A421" s="385">
        <v>151703</v>
      </c>
      <c r="B421" s="386" t="s">
        <v>2420</v>
      </c>
      <c r="C421" s="386" t="s">
        <v>161</v>
      </c>
      <c r="D421" s="387">
        <v>7564000</v>
      </c>
      <c r="G421" s="388"/>
    </row>
    <row r="422" spans="1:7" ht="41.4">
      <c r="A422" s="385">
        <v>151704</v>
      </c>
      <c r="B422" s="386" t="s">
        <v>2421</v>
      </c>
      <c r="C422" s="386" t="s">
        <v>161</v>
      </c>
      <c r="D422" s="387">
        <v>7585000</v>
      </c>
      <c r="G422" s="388"/>
    </row>
    <row r="423" spans="1:7" ht="15.6">
      <c r="A423" s="385">
        <v>151801</v>
      </c>
      <c r="B423" s="386" t="s">
        <v>2422</v>
      </c>
      <c r="C423" s="386" t="s">
        <v>161</v>
      </c>
      <c r="D423" s="387">
        <v>567000</v>
      </c>
      <c r="G423" s="388"/>
    </row>
    <row r="424" spans="1:7" ht="15.6">
      <c r="A424" s="385">
        <v>151802</v>
      </c>
      <c r="B424" s="386" t="s">
        <v>2423</v>
      </c>
      <c r="C424" s="386" t="s">
        <v>161</v>
      </c>
      <c r="D424" s="387">
        <v>625500</v>
      </c>
      <c r="G424" s="388"/>
    </row>
    <row r="425" spans="1:7" ht="15.6">
      <c r="A425" s="385">
        <v>151901</v>
      </c>
      <c r="B425" s="386" t="s">
        <v>2424</v>
      </c>
      <c r="C425" s="386" t="s">
        <v>161</v>
      </c>
      <c r="D425" s="387">
        <v>1020000</v>
      </c>
      <c r="G425" s="388"/>
    </row>
    <row r="426" spans="1:7" ht="15.6">
      <c r="A426" s="385">
        <v>151902</v>
      </c>
      <c r="B426" s="386" t="s">
        <v>2425</v>
      </c>
      <c r="C426" s="386" t="s">
        <v>161</v>
      </c>
      <c r="D426" s="387">
        <v>1689000</v>
      </c>
      <c r="G426" s="388"/>
    </row>
    <row r="427" spans="1:7" ht="15.6">
      <c r="A427" s="385">
        <v>152001</v>
      </c>
      <c r="B427" s="386" t="s">
        <v>2426</v>
      </c>
      <c r="C427" s="386" t="s">
        <v>161</v>
      </c>
      <c r="D427" s="387">
        <v>314500</v>
      </c>
      <c r="G427" s="388"/>
    </row>
    <row r="428" spans="1:7" ht="15.6">
      <c r="A428" s="385">
        <v>152002</v>
      </c>
      <c r="B428" s="386" t="s">
        <v>2427</v>
      </c>
      <c r="C428" s="386" t="s">
        <v>161</v>
      </c>
      <c r="D428" s="387">
        <v>325000</v>
      </c>
      <c r="G428" s="388"/>
    </row>
    <row r="429" spans="1:7" ht="15.6">
      <c r="A429" s="385">
        <v>152003</v>
      </c>
      <c r="B429" s="386" t="s">
        <v>2428</v>
      </c>
      <c r="C429" s="386" t="s">
        <v>161</v>
      </c>
      <c r="D429" s="387">
        <v>336000</v>
      </c>
      <c r="G429" s="388"/>
    </row>
    <row r="430" spans="1:7" ht="15.6">
      <c r="A430" s="385">
        <v>152004</v>
      </c>
      <c r="B430" s="386" t="s">
        <v>2429</v>
      </c>
      <c r="C430" s="386" t="s">
        <v>161</v>
      </c>
      <c r="D430" s="387">
        <v>351500</v>
      </c>
      <c r="G430" s="388"/>
    </row>
    <row r="431" spans="1:7" ht="15.6">
      <c r="A431" s="385">
        <v>152005</v>
      </c>
      <c r="B431" s="386" t="s">
        <v>2430</v>
      </c>
      <c r="C431" s="386" t="s">
        <v>161</v>
      </c>
      <c r="D431" s="387">
        <v>358500</v>
      </c>
      <c r="G431" s="388"/>
    </row>
    <row r="432" spans="1:7" ht="27.6">
      <c r="A432" s="385">
        <v>152006</v>
      </c>
      <c r="B432" s="386" t="s">
        <v>2431</v>
      </c>
      <c r="C432" s="386" t="s">
        <v>161</v>
      </c>
      <c r="D432" s="387"/>
      <c r="G432" s="388"/>
    </row>
    <row r="433" spans="1:7" ht="27.6">
      <c r="A433" s="385">
        <v>152007</v>
      </c>
      <c r="B433" s="386" t="s">
        <v>2432</v>
      </c>
      <c r="C433" s="386" t="s">
        <v>161</v>
      </c>
      <c r="D433" s="387">
        <v>311500</v>
      </c>
      <c r="G433" s="388"/>
    </row>
    <row r="434" spans="1:7" ht="15.6">
      <c r="A434" s="385">
        <v>152101</v>
      </c>
      <c r="B434" s="386" t="s">
        <v>2433</v>
      </c>
      <c r="C434" s="386" t="s">
        <v>161</v>
      </c>
      <c r="D434" s="387">
        <v>338000</v>
      </c>
      <c r="G434" s="388"/>
    </row>
    <row r="435" spans="1:7" ht="15.6">
      <c r="A435" s="385">
        <v>152102</v>
      </c>
      <c r="B435" s="386" t="s">
        <v>2434</v>
      </c>
      <c r="C435" s="386" t="s">
        <v>161</v>
      </c>
      <c r="D435" s="387">
        <v>278500</v>
      </c>
      <c r="G435" s="388"/>
    </row>
    <row r="436" spans="1:7" ht="27.6">
      <c r="A436" s="385">
        <v>152201</v>
      </c>
      <c r="B436" s="386" t="s">
        <v>2435</v>
      </c>
      <c r="C436" s="386" t="s">
        <v>161</v>
      </c>
      <c r="D436" s="387">
        <v>534000</v>
      </c>
      <c r="G436" s="388"/>
    </row>
    <row r="437" spans="1:7" ht="15.6">
      <c r="A437" s="385">
        <v>152301</v>
      </c>
      <c r="B437" s="386" t="s">
        <v>2436</v>
      </c>
      <c r="C437" s="386" t="s">
        <v>161</v>
      </c>
      <c r="D437" s="387">
        <v>192000</v>
      </c>
      <c r="G437" s="388"/>
    </row>
    <row r="438" spans="1:7" ht="15.6">
      <c r="A438" s="385">
        <v>152302</v>
      </c>
      <c r="B438" s="386" t="s">
        <v>2437</v>
      </c>
      <c r="C438" s="386" t="s">
        <v>161</v>
      </c>
      <c r="D438" s="387">
        <v>214500</v>
      </c>
      <c r="G438" s="388"/>
    </row>
    <row r="439" spans="1:7" ht="15.6">
      <c r="A439" s="385">
        <v>152303</v>
      </c>
      <c r="B439" s="386" t="s">
        <v>2438</v>
      </c>
      <c r="C439" s="386" t="s">
        <v>161</v>
      </c>
      <c r="D439" s="387">
        <v>236500</v>
      </c>
      <c r="G439" s="388"/>
    </row>
    <row r="440" spans="1:7" ht="15.6">
      <c r="A440" s="385">
        <v>152304</v>
      </c>
      <c r="B440" s="386" t="s">
        <v>2439</v>
      </c>
      <c r="C440" s="386" t="s">
        <v>161</v>
      </c>
      <c r="D440" s="387">
        <v>259000</v>
      </c>
      <c r="G440" s="388"/>
    </row>
    <row r="441" spans="1:7" ht="15.6">
      <c r="A441" s="385">
        <v>152401</v>
      </c>
      <c r="B441" s="386" t="s">
        <v>2440</v>
      </c>
      <c r="C441" s="386" t="s">
        <v>161</v>
      </c>
      <c r="D441" s="387">
        <v>380500</v>
      </c>
      <c r="G441" s="388"/>
    </row>
    <row r="442" spans="1:7" ht="15.6">
      <c r="A442" s="385">
        <v>152402</v>
      </c>
      <c r="B442" s="386" t="s">
        <v>2441</v>
      </c>
      <c r="C442" s="386" t="s">
        <v>161</v>
      </c>
      <c r="D442" s="387">
        <v>402500</v>
      </c>
      <c r="G442" s="388"/>
    </row>
    <row r="443" spans="1:7" ht="15.6">
      <c r="A443" s="385">
        <v>152403</v>
      </c>
      <c r="B443" s="386" t="s">
        <v>2442</v>
      </c>
      <c r="C443" s="386" t="s">
        <v>161</v>
      </c>
      <c r="D443" s="387">
        <v>658500</v>
      </c>
      <c r="G443" s="388"/>
    </row>
    <row r="444" spans="1:7" ht="15.6">
      <c r="A444" s="385">
        <v>152404</v>
      </c>
      <c r="B444" s="386" t="s">
        <v>2443</v>
      </c>
      <c r="C444" s="386" t="s">
        <v>161</v>
      </c>
      <c r="D444" s="387">
        <v>803500</v>
      </c>
      <c r="G444" s="388"/>
    </row>
    <row r="445" spans="1:7" ht="15.6">
      <c r="A445" s="385">
        <v>152405</v>
      </c>
      <c r="B445" s="386" t="s">
        <v>2444</v>
      </c>
      <c r="C445" s="386" t="s">
        <v>161</v>
      </c>
      <c r="D445" s="387">
        <v>915000</v>
      </c>
      <c r="G445" s="388"/>
    </row>
    <row r="446" spans="1:7" ht="15.6">
      <c r="A446" s="385">
        <v>152406</v>
      </c>
      <c r="B446" s="386" t="s">
        <v>2445</v>
      </c>
      <c r="C446" s="386" t="s">
        <v>161</v>
      </c>
      <c r="D446" s="387">
        <v>927000</v>
      </c>
      <c r="G446" s="388"/>
    </row>
    <row r="447" spans="1:7" ht="15.6">
      <c r="A447" s="385">
        <v>152407</v>
      </c>
      <c r="B447" s="386" t="s">
        <v>2446</v>
      </c>
      <c r="C447" s="386" t="s">
        <v>161</v>
      </c>
      <c r="D447" s="387">
        <v>1566000</v>
      </c>
      <c r="G447" s="388"/>
    </row>
    <row r="448" spans="1:7" ht="15.6">
      <c r="A448" s="385">
        <v>160202</v>
      </c>
      <c r="B448" s="386" t="s">
        <v>2447</v>
      </c>
      <c r="C448" s="386" t="s">
        <v>206</v>
      </c>
      <c r="D448" s="387">
        <v>6569000</v>
      </c>
      <c r="G448" s="388"/>
    </row>
    <row r="449" spans="1:7" ht="27.6">
      <c r="A449" s="385">
        <v>170201</v>
      </c>
      <c r="B449" s="386" t="s">
        <v>2448</v>
      </c>
      <c r="C449" s="386" t="s">
        <v>2449</v>
      </c>
      <c r="D449" s="387">
        <v>171000</v>
      </c>
      <c r="G449" s="388"/>
    </row>
    <row r="450" spans="1:7" ht="27.6">
      <c r="A450" s="385">
        <v>170202</v>
      </c>
      <c r="B450" s="386" t="s">
        <v>2450</v>
      </c>
      <c r="C450" s="386" t="s">
        <v>2449</v>
      </c>
      <c r="D450" s="387">
        <v>170500</v>
      </c>
      <c r="G450" s="388"/>
    </row>
    <row r="451" spans="1:7" ht="27.6">
      <c r="A451" s="385">
        <v>170301</v>
      </c>
      <c r="B451" s="386" t="s">
        <v>2451</v>
      </c>
      <c r="C451" s="386" t="s">
        <v>2449</v>
      </c>
      <c r="D451" s="387">
        <v>259000</v>
      </c>
      <c r="G451" s="388"/>
    </row>
    <row r="452" spans="1:7" ht="27.6">
      <c r="A452" s="385">
        <v>170302</v>
      </c>
      <c r="B452" s="386" t="s">
        <v>2452</v>
      </c>
      <c r="C452" s="386" t="s">
        <v>2449</v>
      </c>
      <c r="D452" s="387">
        <v>230000</v>
      </c>
      <c r="G452" s="388"/>
    </row>
    <row r="453" spans="1:7" ht="27.6">
      <c r="A453" s="385">
        <v>170303</v>
      </c>
      <c r="B453" s="386" t="s">
        <v>2453</v>
      </c>
      <c r="C453" s="386" t="s">
        <v>2449</v>
      </c>
      <c r="D453" s="387">
        <v>228500</v>
      </c>
      <c r="G453" s="388"/>
    </row>
    <row r="454" spans="1:7" ht="55.2">
      <c r="A454" s="385">
        <v>180102</v>
      </c>
      <c r="B454" s="386" t="s">
        <v>2454</v>
      </c>
      <c r="C454" s="386" t="s">
        <v>206</v>
      </c>
      <c r="D454" s="387"/>
      <c r="G454" s="388"/>
    </row>
    <row r="455" spans="1:7" ht="55.2">
      <c r="A455" s="385">
        <v>180104</v>
      </c>
      <c r="B455" s="386" t="s">
        <v>2455</v>
      </c>
      <c r="C455" s="386" t="s">
        <v>206</v>
      </c>
      <c r="D455" s="387"/>
      <c r="G455" s="388"/>
    </row>
    <row r="456" spans="1:7" ht="55.2">
      <c r="A456" s="385">
        <v>180105</v>
      </c>
      <c r="B456" s="386" t="s">
        <v>2456</v>
      </c>
      <c r="C456" s="386" t="s">
        <v>206</v>
      </c>
      <c r="D456" s="387"/>
      <c r="G456" s="388"/>
    </row>
    <row r="457" spans="1:7" ht="55.2">
      <c r="A457" s="385">
        <v>180106</v>
      </c>
      <c r="B457" s="386" t="s">
        <v>2457</v>
      </c>
      <c r="C457" s="386" t="s">
        <v>206</v>
      </c>
      <c r="D457" s="387"/>
      <c r="G457" s="388"/>
    </row>
    <row r="458" spans="1:7" ht="15.6">
      <c r="A458" s="385">
        <v>190101</v>
      </c>
      <c r="B458" s="386" t="s">
        <v>2458</v>
      </c>
      <c r="C458" s="386" t="s">
        <v>15</v>
      </c>
      <c r="D458" s="387">
        <v>390000</v>
      </c>
      <c r="G458" s="388"/>
    </row>
    <row r="459" spans="1:7" ht="15.6">
      <c r="A459" s="385">
        <v>190102</v>
      </c>
      <c r="B459" s="386" t="s">
        <v>2459</v>
      </c>
      <c r="C459" s="386" t="s">
        <v>15</v>
      </c>
      <c r="D459" s="387">
        <v>429500</v>
      </c>
      <c r="G459" s="388"/>
    </row>
    <row r="460" spans="1:7" ht="15.6">
      <c r="A460" s="385">
        <v>190103</v>
      </c>
      <c r="B460" s="386" t="s">
        <v>2460</v>
      </c>
      <c r="C460" s="386" t="s">
        <v>15</v>
      </c>
      <c r="D460" s="387">
        <v>492000</v>
      </c>
      <c r="G460" s="388"/>
    </row>
    <row r="461" spans="1:7" ht="15.6">
      <c r="A461" s="385">
        <v>190104</v>
      </c>
      <c r="B461" s="386" t="s">
        <v>2461</v>
      </c>
      <c r="C461" s="386" t="s">
        <v>15</v>
      </c>
      <c r="D461" s="387">
        <v>577000</v>
      </c>
      <c r="G461" s="388"/>
    </row>
    <row r="462" spans="1:7" ht="15.6">
      <c r="A462" s="385">
        <v>190105</v>
      </c>
      <c r="B462" s="386" t="s">
        <v>2462</v>
      </c>
      <c r="C462" s="386" t="s">
        <v>15</v>
      </c>
      <c r="D462" s="387">
        <v>673500</v>
      </c>
      <c r="G462" s="388"/>
    </row>
    <row r="463" spans="1:7" ht="15.6">
      <c r="A463" s="385">
        <v>190106</v>
      </c>
      <c r="B463" s="386" t="s">
        <v>2463</v>
      </c>
      <c r="C463" s="386" t="s">
        <v>15</v>
      </c>
      <c r="D463" s="387">
        <v>789000</v>
      </c>
      <c r="G463" s="388"/>
    </row>
    <row r="464" spans="1:7" ht="27.6">
      <c r="A464" s="385">
        <v>190201</v>
      </c>
      <c r="B464" s="386" t="s">
        <v>2464</v>
      </c>
      <c r="C464" s="386" t="s">
        <v>15</v>
      </c>
      <c r="D464" s="387">
        <v>514000</v>
      </c>
      <c r="G464" s="388"/>
    </row>
    <row r="465" spans="1:7" ht="15.6">
      <c r="A465" s="385">
        <v>190301</v>
      </c>
      <c r="B465" s="386" t="s">
        <v>2465</v>
      </c>
      <c r="C465" s="386" t="s">
        <v>161</v>
      </c>
      <c r="D465" s="387">
        <v>657000</v>
      </c>
      <c r="G465" s="388"/>
    </row>
    <row r="466" spans="1:7" ht="15.6">
      <c r="A466" s="385">
        <v>190302</v>
      </c>
      <c r="B466" s="386" t="s">
        <v>2466</v>
      </c>
      <c r="C466" s="386" t="s">
        <v>161</v>
      </c>
      <c r="D466" s="387">
        <v>699500</v>
      </c>
      <c r="G466" s="388"/>
    </row>
    <row r="467" spans="1:7" ht="15.6">
      <c r="A467" s="385">
        <v>190303</v>
      </c>
      <c r="B467" s="386" t="s">
        <v>2467</v>
      </c>
      <c r="C467" s="386" t="s">
        <v>161</v>
      </c>
      <c r="D467" s="387">
        <v>809500</v>
      </c>
      <c r="G467" s="388"/>
    </row>
    <row r="468" spans="1:7" ht="15.6">
      <c r="A468" s="385">
        <v>190304</v>
      </c>
      <c r="B468" s="386" t="s">
        <v>2468</v>
      </c>
      <c r="C468" s="386" t="s">
        <v>161</v>
      </c>
      <c r="D468" s="387">
        <v>853000</v>
      </c>
      <c r="G468" s="388"/>
    </row>
    <row r="469" spans="1:7" ht="15.6">
      <c r="A469" s="385">
        <v>190305</v>
      </c>
      <c r="B469" s="386" t="s">
        <v>2469</v>
      </c>
      <c r="C469" s="386" t="s">
        <v>161</v>
      </c>
      <c r="D469" s="387">
        <v>1002000</v>
      </c>
      <c r="G469" s="388"/>
    </row>
    <row r="470" spans="1:7" ht="15.6">
      <c r="A470" s="385">
        <v>190306</v>
      </c>
      <c r="B470" s="386" t="s">
        <v>2470</v>
      </c>
      <c r="C470" s="386" t="s">
        <v>161</v>
      </c>
      <c r="D470" s="387">
        <v>1121000</v>
      </c>
      <c r="G470" s="388"/>
    </row>
    <row r="471" spans="1:7" ht="15.6">
      <c r="A471" s="385">
        <v>190307</v>
      </c>
      <c r="B471" s="386" t="s">
        <v>2471</v>
      </c>
      <c r="C471" s="386" t="s">
        <v>161</v>
      </c>
      <c r="D471" s="387">
        <v>1269000</v>
      </c>
      <c r="G471" s="388"/>
    </row>
    <row r="472" spans="1:7" ht="15.6">
      <c r="A472" s="385">
        <v>190401</v>
      </c>
      <c r="B472" s="386" t="s">
        <v>2472</v>
      </c>
      <c r="C472" s="386" t="s">
        <v>2473</v>
      </c>
      <c r="D472" s="387">
        <v>545</v>
      </c>
      <c r="G472" s="388"/>
    </row>
    <row r="473" spans="1:7" ht="15.6">
      <c r="A473" s="385">
        <v>190501</v>
      </c>
      <c r="B473" s="386" t="s">
        <v>2474</v>
      </c>
      <c r="C473" s="386" t="s">
        <v>2473</v>
      </c>
      <c r="D473" s="387">
        <v>440</v>
      </c>
      <c r="G473" s="388"/>
    </row>
    <row r="474" spans="1:7" ht="15.6">
      <c r="A474" s="385">
        <v>190601</v>
      </c>
      <c r="B474" s="386" t="s">
        <v>2475</v>
      </c>
      <c r="C474" s="386" t="s">
        <v>2473</v>
      </c>
      <c r="D474" s="387">
        <v>570</v>
      </c>
      <c r="G474" s="388"/>
    </row>
    <row r="475" spans="1:7" ht="15.6">
      <c r="A475" s="385">
        <v>190701</v>
      </c>
      <c r="B475" s="386" t="s">
        <v>2476</v>
      </c>
      <c r="C475" s="386" t="s">
        <v>2473</v>
      </c>
      <c r="D475" s="387">
        <v>480</v>
      </c>
      <c r="G475" s="388"/>
    </row>
    <row r="476" spans="1:7" ht="15.6">
      <c r="A476" s="385">
        <v>190801</v>
      </c>
      <c r="B476" s="386" t="s">
        <v>2477</v>
      </c>
      <c r="C476" s="386" t="s">
        <v>2473</v>
      </c>
      <c r="D476" s="387">
        <v>560</v>
      </c>
      <c r="G476" s="388"/>
    </row>
    <row r="477" spans="1:7" ht="15.6">
      <c r="A477" s="385">
        <v>190901</v>
      </c>
      <c r="B477" s="386" t="s">
        <v>2478</v>
      </c>
      <c r="C477" s="386" t="s">
        <v>2473</v>
      </c>
      <c r="D477" s="387">
        <v>550</v>
      </c>
      <c r="G477" s="388"/>
    </row>
    <row r="478" spans="1:7" ht="15.6">
      <c r="A478" s="385">
        <v>191001</v>
      </c>
      <c r="B478" s="386" t="s">
        <v>2479</v>
      </c>
      <c r="C478" s="386" t="s">
        <v>2473</v>
      </c>
      <c r="D478" s="387">
        <v>610</v>
      </c>
      <c r="G478" s="388"/>
    </row>
    <row r="479" spans="1:7" ht="15.6">
      <c r="A479" s="385">
        <v>191101</v>
      </c>
      <c r="B479" s="386" t="s">
        <v>2480</v>
      </c>
      <c r="C479" s="386" t="s">
        <v>2473</v>
      </c>
      <c r="D479" s="387">
        <v>710</v>
      </c>
      <c r="G479" s="388"/>
    </row>
    <row r="480" spans="1:7" ht="15.6">
      <c r="A480" s="385">
        <v>191201</v>
      </c>
      <c r="B480" s="386" t="s">
        <v>2481</v>
      </c>
      <c r="C480" s="386" t="s">
        <v>2473</v>
      </c>
      <c r="D480" s="387"/>
      <c r="G480" s="388"/>
    </row>
    <row r="481" spans="1:7" ht="15.6">
      <c r="A481" s="385">
        <v>191301</v>
      </c>
      <c r="B481" s="386" t="s">
        <v>2482</v>
      </c>
      <c r="C481" s="386" t="s">
        <v>2473</v>
      </c>
      <c r="D481" s="387"/>
      <c r="G481" s="388"/>
    </row>
    <row r="482" spans="1:7" ht="55.2">
      <c r="A482" s="385">
        <v>191401</v>
      </c>
      <c r="B482" s="386" t="s">
        <v>2483</v>
      </c>
      <c r="C482" s="386" t="s">
        <v>335</v>
      </c>
      <c r="D482" s="387">
        <v>76700</v>
      </c>
      <c r="G482" s="388"/>
    </row>
    <row r="483" spans="1:7" ht="15.6">
      <c r="A483" s="385">
        <v>200101</v>
      </c>
      <c r="B483" s="386" t="s">
        <v>2484</v>
      </c>
      <c r="C483" s="386" t="s">
        <v>206</v>
      </c>
      <c r="D483" s="387">
        <v>578500</v>
      </c>
      <c r="G483" s="388"/>
    </row>
    <row r="484" spans="1:7" ht="27.6">
      <c r="A484" s="385">
        <v>200102</v>
      </c>
      <c r="B484" s="386" t="s">
        <v>2485</v>
      </c>
      <c r="C484" s="386" t="s">
        <v>206</v>
      </c>
      <c r="D484" s="387">
        <v>704500</v>
      </c>
      <c r="G484" s="388"/>
    </row>
    <row r="485" spans="1:7" ht="27.6">
      <c r="A485" s="385">
        <v>200103</v>
      </c>
      <c r="B485" s="386" t="s">
        <v>2486</v>
      </c>
      <c r="C485" s="386" t="s">
        <v>206</v>
      </c>
      <c r="D485" s="387">
        <v>761000</v>
      </c>
      <c r="G485" s="388"/>
    </row>
    <row r="486" spans="1:7" ht="15.6">
      <c r="A486" s="385">
        <v>200201</v>
      </c>
      <c r="B486" s="386" t="s">
        <v>2487</v>
      </c>
      <c r="C486" s="386" t="s">
        <v>206</v>
      </c>
      <c r="D486" s="387">
        <v>1816000</v>
      </c>
      <c r="G486" s="388"/>
    </row>
    <row r="487" spans="1:7" ht="27.6">
      <c r="A487" s="385">
        <v>200202</v>
      </c>
      <c r="B487" s="386" t="s">
        <v>2488</v>
      </c>
      <c r="C487" s="386" t="s">
        <v>206</v>
      </c>
      <c r="D487" s="387">
        <v>3263000</v>
      </c>
      <c r="G487" s="388"/>
    </row>
    <row r="488" spans="1:7" ht="27.6">
      <c r="A488" s="385">
        <v>200203</v>
      </c>
      <c r="B488" s="386" t="s">
        <v>2489</v>
      </c>
      <c r="C488" s="386" t="s">
        <v>206</v>
      </c>
      <c r="D488" s="387">
        <v>3848000</v>
      </c>
      <c r="G488" s="388"/>
    </row>
    <row r="489" spans="1:7" ht="27.6">
      <c r="A489" s="385">
        <v>200204</v>
      </c>
      <c r="B489" s="386" t="s">
        <v>2490</v>
      </c>
      <c r="C489" s="386" t="s">
        <v>206</v>
      </c>
      <c r="D489" s="387">
        <v>5384000</v>
      </c>
      <c r="G489" s="388"/>
    </row>
    <row r="490" spans="1:7" ht="27.6">
      <c r="A490" s="385">
        <v>200205</v>
      </c>
      <c r="B490" s="386" t="s">
        <v>2491</v>
      </c>
      <c r="C490" s="386" t="s">
        <v>206</v>
      </c>
      <c r="D490" s="387">
        <v>5977000</v>
      </c>
      <c r="G490" s="388"/>
    </row>
    <row r="491" spans="1:7" ht="15.6">
      <c r="A491" s="385">
        <v>200301</v>
      </c>
      <c r="B491" s="386" t="s">
        <v>2492</v>
      </c>
      <c r="C491" s="386" t="s">
        <v>206</v>
      </c>
      <c r="D491" s="387">
        <v>8548000</v>
      </c>
      <c r="G491" s="388"/>
    </row>
    <row r="492" spans="1:7" ht="27.6">
      <c r="A492" s="385">
        <v>200302</v>
      </c>
      <c r="B492" s="386" t="s">
        <v>2493</v>
      </c>
      <c r="C492" s="386" t="s">
        <v>206</v>
      </c>
      <c r="D492" s="387">
        <v>10374000</v>
      </c>
      <c r="G492" s="388"/>
    </row>
    <row r="493" spans="1:7" ht="27.6">
      <c r="A493" s="385">
        <v>200303</v>
      </c>
      <c r="B493" s="386" t="s">
        <v>2494</v>
      </c>
      <c r="C493" s="386" t="s">
        <v>206</v>
      </c>
      <c r="D493" s="387">
        <v>13714000</v>
      </c>
      <c r="G493" s="388"/>
    </row>
    <row r="494" spans="1:7" ht="27.6">
      <c r="A494" s="385">
        <v>200304</v>
      </c>
      <c r="B494" s="386" t="s">
        <v>2495</v>
      </c>
      <c r="C494" s="386" t="s">
        <v>206</v>
      </c>
      <c r="D494" s="387">
        <v>16291000</v>
      </c>
      <c r="G494" s="388"/>
    </row>
    <row r="495" spans="1:7" ht="27.6">
      <c r="A495" s="385">
        <v>200401</v>
      </c>
      <c r="B495" s="386" t="s">
        <v>2496</v>
      </c>
      <c r="C495" s="386" t="s">
        <v>206</v>
      </c>
      <c r="D495" s="387">
        <v>6539000</v>
      </c>
      <c r="G495" s="388"/>
    </row>
    <row r="496" spans="1:7" ht="27.6">
      <c r="A496" s="385">
        <v>200402</v>
      </c>
      <c r="B496" s="386" t="s">
        <v>2497</v>
      </c>
      <c r="C496" s="386" t="s">
        <v>206</v>
      </c>
      <c r="D496" s="387">
        <v>8748000</v>
      </c>
      <c r="G496" s="388"/>
    </row>
    <row r="497" spans="1:7" ht="27.6">
      <c r="A497" s="385">
        <v>200403</v>
      </c>
      <c r="B497" s="386" t="s">
        <v>2498</v>
      </c>
      <c r="C497" s="386" t="s">
        <v>206</v>
      </c>
      <c r="D497" s="387">
        <v>9309000</v>
      </c>
      <c r="G497" s="388"/>
    </row>
    <row r="498" spans="1:7" ht="27.6">
      <c r="A498" s="385">
        <v>200404</v>
      </c>
      <c r="B498" s="386" t="s">
        <v>2499</v>
      </c>
      <c r="C498" s="386" t="s">
        <v>206</v>
      </c>
      <c r="D498" s="387">
        <v>9907000</v>
      </c>
      <c r="G498" s="388"/>
    </row>
    <row r="499" spans="1:7" ht="27.6">
      <c r="A499" s="385">
        <v>200405</v>
      </c>
      <c r="B499" s="386" t="s">
        <v>2500</v>
      </c>
      <c r="C499" s="386" t="s">
        <v>206</v>
      </c>
      <c r="D499" s="387">
        <v>10586000</v>
      </c>
      <c r="G499" s="388"/>
    </row>
    <row r="500" spans="1:7" ht="27.6">
      <c r="A500" s="385">
        <v>200406</v>
      </c>
      <c r="B500" s="386" t="s">
        <v>2501</v>
      </c>
      <c r="C500" s="386" t="s">
        <v>206</v>
      </c>
      <c r="D500" s="387">
        <v>12051000</v>
      </c>
      <c r="G500" s="388"/>
    </row>
    <row r="501" spans="1:7" ht="27.6">
      <c r="A501" s="385">
        <v>200407</v>
      </c>
      <c r="B501" s="386" t="s">
        <v>2502</v>
      </c>
      <c r="C501" s="386" t="s">
        <v>206</v>
      </c>
      <c r="D501" s="387">
        <v>15321000</v>
      </c>
      <c r="G501" s="388"/>
    </row>
    <row r="502" spans="1:7" ht="27.6">
      <c r="A502" s="385">
        <v>200408</v>
      </c>
      <c r="B502" s="386" t="s">
        <v>2503</v>
      </c>
      <c r="C502" s="386" t="s">
        <v>206</v>
      </c>
      <c r="D502" s="387">
        <v>22265000</v>
      </c>
      <c r="G502" s="388"/>
    </row>
    <row r="503" spans="1:7" ht="27.6">
      <c r="A503" s="385">
        <v>200409</v>
      </c>
      <c r="B503" s="386" t="s">
        <v>2504</v>
      </c>
      <c r="C503" s="386" t="s">
        <v>206</v>
      </c>
      <c r="D503" s="387">
        <v>25499000</v>
      </c>
      <c r="G503" s="388"/>
    </row>
    <row r="504" spans="1:7" ht="27.6">
      <c r="A504" s="385">
        <v>200410</v>
      </c>
      <c r="B504" s="386" t="s">
        <v>2505</v>
      </c>
      <c r="C504" s="386" t="s">
        <v>206</v>
      </c>
      <c r="D504" s="387">
        <v>30585000</v>
      </c>
      <c r="G504" s="388"/>
    </row>
    <row r="505" spans="1:7" ht="27.6">
      <c r="A505" s="385">
        <v>200411</v>
      </c>
      <c r="B505" s="386" t="s">
        <v>2506</v>
      </c>
      <c r="C505" s="386" t="s">
        <v>206</v>
      </c>
      <c r="D505" s="387">
        <v>43931000</v>
      </c>
      <c r="G505" s="388"/>
    </row>
    <row r="506" spans="1:7" ht="27.6">
      <c r="A506" s="385">
        <v>200412</v>
      </c>
      <c r="B506" s="386" t="s">
        <v>2507</v>
      </c>
      <c r="C506" s="386" t="s">
        <v>206</v>
      </c>
      <c r="D506" s="387">
        <v>48729000</v>
      </c>
      <c r="G506" s="388"/>
    </row>
    <row r="507" spans="1:7" ht="15.6">
      <c r="A507" s="385">
        <v>210101</v>
      </c>
      <c r="B507" s="386" t="s">
        <v>2508</v>
      </c>
      <c r="C507" s="386" t="s">
        <v>206</v>
      </c>
      <c r="D507" s="387">
        <v>7059000</v>
      </c>
      <c r="G507" s="388"/>
    </row>
    <row r="508" spans="1:7" ht="15.6">
      <c r="A508" s="385">
        <v>210102</v>
      </c>
      <c r="B508" s="386" t="s">
        <v>2509</v>
      </c>
      <c r="C508" s="386" t="s">
        <v>206</v>
      </c>
      <c r="D508" s="387">
        <v>8285000</v>
      </c>
      <c r="G508" s="388"/>
    </row>
    <row r="509" spans="1:7" ht="15.6">
      <c r="A509" s="385">
        <v>210103</v>
      </c>
      <c r="B509" s="386" t="s">
        <v>2510</v>
      </c>
      <c r="C509" s="386" t="s">
        <v>206</v>
      </c>
      <c r="D509" s="387">
        <v>9335000</v>
      </c>
      <c r="G509" s="388"/>
    </row>
    <row r="510" spans="1:7" ht="15.6">
      <c r="A510" s="385">
        <v>210104</v>
      </c>
      <c r="B510" s="386" t="s">
        <v>2511</v>
      </c>
      <c r="C510" s="386" t="s">
        <v>206</v>
      </c>
      <c r="D510" s="387">
        <v>10045000</v>
      </c>
      <c r="G510" s="388"/>
    </row>
    <row r="511" spans="1:7" ht="15.6">
      <c r="A511" s="385">
        <v>210105</v>
      </c>
      <c r="B511" s="386" t="s">
        <v>2512</v>
      </c>
      <c r="C511" s="386" t="s">
        <v>206</v>
      </c>
      <c r="D511" s="387">
        <v>13611000</v>
      </c>
      <c r="G511" s="388"/>
    </row>
    <row r="512" spans="1:7" ht="15.6">
      <c r="A512" s="385">
        <v>210106</v>
      </c>
      <c r="B512" s="386" t="s">
        <v>2513</v>
      </c>
      <c r="C512" s="386" t="s">
        <v>206</v>
      </c>
      <c r="D512" s="387">
        <v>15633000</v>
      </c>
      <c r="G512" s="388"/>
    </row>
    <row r="513" spans="1:7" ht="15.6">
      <c r="A513" s="385">
        <v>210107</v>
      </c>
      <c r="B513" s="386" t="s">
        <v>2514</v>
      </c>
      <c r="C513" s="386" t="s">
        <v>206</v>
      </c>
      <c r="D513" s="387">
        <v>17521000</v>
      </c>
      <c r="G513" s="388"/>
    </row>
    <row r="514" spans="1:7" ht="15.6">
      <c r="A514" s="385">
        <v>210201</v>
      </c>
      <c r="B514" s="386" t="s">
        <v>2515</v>
      </c>
      <c r="C514" s="386" t="s">
        <v>206</v>
      </c>
      <c r="D514" s="387">
        <v>12025000</v>
      </c>
      <c r="G514" s="388"/>
    </row>
    <row r="515" spans="1:7" ht="27.6">
      <c r="A515" s="385">
        <v>210202</v>
      </c>
      <c r="B515" s="386" t="s">
        <v>2516</v>
      </c>
      <c r="C515" s="386" t="s">
        <v>206</v>
      </c>
      <c r="D515" s="387">
        <v>12025000</v>
      </c>
      <c r="G515" s="388"/>
    </row>
    <row r="516" spans="1:7" ht="27.6">
      <c r="A516" s="385">
        <v>210203</v>
      </c>
      <c r="B516" s="386" t="s">
        <v>2517</v>
      </c>
      <c r="C516" s="386" t="s">
        <v>206</v>
      </c>
      <c r="D516" s="387">
        <v>15437000</v>
      </c>
      <c r="G516" s="388"/>
    </row>
    <row r="517" spans="1:7" ht="27.6">
      <c r="A517" s="385">
        <v>210204</v>
      </c>
      <c r="B517" s="386" t="s">
        <v>2518</v>
      </c>
      <c r="C517" s="386" t="s">
        <v>206</v>
      </c>
      <c r="D517" s="387">
        <v>17262000</v>
      </c>
      <c r="G517" s="388"/>
    </row>
    <row r="518" spans="1:7" ht="27.6">
      <c r="A518" s="385">
        <v>210205</v>
      </c>
      <c r="B518" s="386" t="s">
        <v>2519</v>
      </c>
      <c r="C518" s="386" t="s">
        <v>206</v>
      </c>
      <c r="D518" s="387">
        <v>17481000</v>
      </c>
      <c r="G518" s="388"/>
    </row>
    <row r="519" spans="1:7" ht="27.6">
      <c r="A519" s="385">
        <v>210206</v>
      </c>
      <c r="B519" s="386" t="s">
        <v>2520</v>
      </c>
      <c r="C519" s="386" t="s">
        <v>206</v>
      </c>
      <c r="D519" s="387">
        <v>17481000</v>
      </c>
      <c r="G519" s="388"/>
    </row>
    <row r="520" spans="1:7" ht="27.6">
      <c r="A520" s="385">
        <v>210207</v>
      </c>
      <c r="B520" s="386" t="s">
        <v>2521</v>
      </c>
      <c r="C520" s="386" t="s">
        <v>206</v>
      </c>
      <c r="D520" s="387">
        <v>21158000</v>
      </c>
      <c r="G520" s="388"/>
    </row>
    <row r="521" spans="1:7" ht="27.6">
      <c r="A521" s="385">
        <v>210208</v>
      </c>
      <c r="B521" s="386" t="s">
        <v>2522</v>
      </c>
      <c r="C521" s="386" t="s">
        <v>206</v>
      </c>
      <c r="D521" s="387">
        <v>21158000</v>
      </c>
      <c r="G521" s="388"/>
    </row>
    <row r="522" spans="1:7" ht="15.6">
      <c r="A522" s="385">
        <v>210301</v>
      </c>
      <c r="B522" s="386" t="s">
        <v>2523</v>
      </c>
      <c r="C522" s="386" t="s">
        <v>206</v>
      </c>
      <c r="D522" s="387">
        <v>15276000</v>
      </c>
      <c r="G522" s="388"/>
    </row>
    <row r="523" spans="1:7" ht="27.6">
      <c r="A523" s="385">
        <v>210302</v>
      </c>
      <c r="B523" s="386" t="s">
        <v>2524</v>
      </c>
      <c r="C523" s="386" t="s">
        <v>206</v>
      </c>
      <c r="D523" s="387">
        <v>15276000</v>
      </c>
      <c r="G523" s="388"/>
    </row>
    <row r="524" spans="1:7" ht="27.6">
      <c r="A524" s="385">
        <v>210303</v>
      </c>
      <c r="B524" s="386" t="s">
        <v>2525</v>
      </c>
      <c r="C524" s="386" t="s">
        <v>206</v>
      </c>
      <c r="D524" s="387">
        <v>16661000</v>
      </c>
      <c r="G524" s="388"/>
    </row>
    <row r="525" spans="1:7" ht="27.6">
      <c r="A525" s="385">
        <v>210304</v>
      </c>
      <c r="B525" s="386" t="s">
        <v>2526</v>
      </c>
      <c r="C525" s="386" t="s">
        <v>206</v>
      </c>
      <c r="D525" s="387">
        <v>19783000</v>
      </c>
      <c r="G525" s="388"/>
    </row>
    <row r="526" spans="1:7" ht="27.6">
      <c r="A526" s="385">
        <v>210305</v>
      </c>
      <c r="B526" s="386" t="s">
        <v>2527</v>
      </c>
      <c r="C526" s="386" t="s">
        <v>206</v>
      </c>
      <c r="D526" s="387">
        <v>22510000</v>
      </c>
      <c r="G526" s="388"/>
    </row>
    <row r="527" spans="1:7" ht="27.6">
      <c r="A527" s="385">
        <v>210306</v>
      </c>
      <c r="B527" s="386" t="s">
        <v>2528</v>
      </c>
      <c r="C527" s="386" t="s">
        <v>206</v>
      </c>
      <c r="D527" s="387">
        <v>22510000</v>
      </c>
      <c r="G527" s="388"/>
    </row>
    <row r="528" spans="1:7" ht="27.6">
      <c r="A528" s="385">
        <v>210307</v>
      </c>
      <c r="B528" s="386" t="s">
        <v>2529</v>
      </c>
      <c r="C528" s="386" t="s">
        <v>206</v>
      </c>
      <c r="D528" s="387">
        <v>24409000</v>
      </c>
      <c r="G528" s="388"/>
    </row>
    <row r="529" spans="1:7" ht="15.6">
      <c r="A529" s="385">
        <v>210401</v>
      </c>
      <c r="B529" s="386" t="s">
        <v>2530</v>
      </c>
      <c r="C529" s="386" t="s">
        <v>206</v>
      </c>
      <c r="D529" s="387">
        <v>19332000</v>
      </c>
      <c r="G529" s="388"/>
    </row>
    <row r="530" spans="1:7" ht="15.6">
      <c r="A530" s="385">
        <v>210402</v>
      </c>
      <c r="B530" s="386" t="s">
        <v>2531</v>
      </c>
      <c r="C530" s="386" t="s">
        <v>206</v>
      </c>
      <c r="D530" s="387">
        <v>20196000</v>
      </c>
      <c r="G530" s="388"/>
    </row>
    <row r="531" spans="1:7" ht="15.6">
      <c r="A531" s="385">
        <v>210403</v>
      </c>
      <c r="B531" s="386" t="s">
        <v>2532</v>
      </c>
      <c r="C531" s="386" t="s">
        <v>206</v>
      </c>
      <c r="D531" s="387">
        <v>22905000</v>
      </c>
      <c r="G531" s="388"/>
    </row>
    <row r="532" spans="1:7" ht="15.6">
      <c r="A532" s="385">
        <v>210404</v>
      </c>
      <c r="B532" s="386" t="s">
        <v>2533</v>
      </c>
      <c r="C532" s="386" t="s">
        <v>206</v>
      </c>
      <c r="D532" s="387">
        <v>26345000</v>
      </c>
      <c r="G532" s="388"/>
    </row>
    <row r="533" spans="1:7" ht="15.6">
      <c r="A533" s="385">
        <v>210405</v>
      </c>
      <c r="B533" s="386" t="s">
        <v>2534</v>
      </c>
      <c r="C533" s="386" t="s">
        <v>206</v>
      </c>
      <c r="D533" s="387">
        <v>31804000</v>
      </c>
      <c r="G533" s="388"/>
    </row>
    <row r="534" spans="1:7" ht="15.6">
      <c r="A534" s="385">
        <v>210406</v>
      </c>
      <c r="B534" s="386" t="s">
        <v>2535</v>
      </c>
      <c r="C534" s="386" t="s">
        <v>206</v>
      </c>
      <c r="D534" s="387">
        <v>35165000</v>
      </c>
      <c r="G534" s="388"/>
    </row>
    <row r="535" spans="1:7" ht="15.6">
      <c r="A535" s="385">
        <v>210407</v>
      </c>
      <c r="B535" s="386" t="s">
        <v>2536</v>
      </c>
      <c r="C535" s="386" t="s">
        <v>206</v>
      </c>
      <c r="D535" s="387">
        <v>38407000</v>
      </c>
      <c r="G535" s="388"/>
    </row>
    <row r="536" spans="1:7" ht="15.6">
      <c r="A536" s="385">
        <v>210501</v>
      </c>
      <c r="B536" s="386" t="s">
        <v>2537</v>
      </c>
      <c r="C536" s="386" t="s">
        <v>206</v>
      </c>
      <c r="D536" s="387"/>
      <c r="G536" s="388"/>
    </row>
    <row r="537" spans="1:7" ht="15.6">
      <c r="A537" s="385">
        <v>210502</v>
      </c>
      <c r="B537" s="386" t="s">
        <v>2538</v>
      </c>
      <c r="C537" s="386" t="s">
        <v>206</v>
      </c>
      <c r="D537" s="387"/>
      <c r="G537" s="388"/>
    </row>
    <row r="538" spans="1:7" ht="15.6">
      <c r="A538" s="385">
        <v>210503</v>
      </c>
      <c r="B538" s="386" t="s">
        <v>2539</v>
      </c>
      <c r="C538" s="386" t="s">
        <v>206</v>
      </c>
      <c r="D538" s="387"/>
      <c r="G538" s="388"/>
    </row>
    <row r="539" spans="1:7" ht="15.6">
      <c r="A539" s="385">
        <v>210504</v>
      </c>
      <c r="B539" s="386" t="s">
        <v>2540</v>
      </c>
      <c r="C539" s="386" t="s">
        <v>206</v>
      </c>
      <c r="D539" s="387"/>
      <c r="G539" s="388"/>
    </row>
    <row r="540" spans="1:7" ht="15.6">
      <c r="A540" s="385">
        <v>210505</v>
      </c>
      <c r="B540" s="386" t="s">
        <v>2541</v>
      </c>
      <c r="C540" s="386" t="s">
        <v>206</v>
      </c>
      <c r="D540" s="387"/>
      <c r="G540" s="388"/>
    </row>
    <row r="541" spans="1:7" ht="15.6">
      <c r="A541" s="385">
        <v>210506</v>
      </c>
      <c r="B541" s="386" t="s">
        <v>2542</v>
      </c>
      <c r="C541" s="386" t="s">
        <v>206</v>
      </c>
      <c r="D541" s="387"/>
      <c r="G541" s="388"/>
    </row>
    <row r="542" spans="1:7" ht="15.6">
      <c r="A542" s="385">
        <v>210507</v>
      </c>
      <c r="B542" s="386" t="s">
        <v>2543</v>
      </c>
      <c r="C542" s="386" t="s">
        <v>206</v>
      </c>
      <c r="D542" s="387"/>
      <c r="G542" s="388"/>
    </row>
    <row r="543" spans="1:7" ht="15.6">
      <c r="A543" s="385">
        <v>210508</v>
      </c>
      <c r="B543" s="386" t="s">
        <v>2544</v>
      </c>
      <c r="C543" s="386" t="s">
        <v>206</v>
      </c>
      <c r="D543" s="387"/>
      <c r="G543" s="388"/>
    </row>
    <row r="544" spans="1:7" ht="15.6">
      <c r="A544" s="385">
        <v>210509</v>
      </c>
      <c r="B544" s="386" t="s">
        <v>2545</v>
      </c>
      <c r="C544" s="386" t="s">
        <v>206</v>
      </c>
      <c r="D544" s="387"/>
      <c r="G544" s="388"/>
    </row>
    <row r="545" spans="1:7" ht="15.6">
      <c r="A545" s="385">
        <v>210510</v>
      </c>
      <c r="B545" s="386" t="s">
        <v>2546</v>
      </c>
      <c r="C545" s="386" t="s">
        <v>206</v>
      </c>
      <c r="D545" s="387"/>
      <c r="G545" s="389"/>
    </row>
    <row r="546" spans="1:7" ht="15.6">
      <c r="A546" s="385">
        <v>210511</v>
      </c>
      <c r="B546" s="386" t="s">
        <v>2547</v>
      </c>
      <c r="C546" s="386" t="s">
        <v>206</v>
      </c>
      <c r="D546" s="387"/>
      <c r="G546" s="388"/>
    </row>
    <row r="547" spans="1:7" ht="15.6">
      <c r="A547" s="385">
        <v>210512</v>
      </c>
      <c r="B547" s="386" t="s">
        <v>2548</v>
      </c>
      <c r="C547" s="386" t="s">
        <v>206</v>
      </c>
      <c r="D547" s="387"/>
      <c r="G547" s="389"/>
    </row>
    <row r="548" spans="1:7" ht="15.6">
      <c r="A548" s="385">
        <v>210513</v>
      </c>
      <c r="B548" s="386" t="s">
        <v>2549</v>
      </c>
      <c r="C548" s="386" t="s">
        <v>206</v>
      </c>
      <c r="D548" s="387"/>
      <c r="G548" s="388"/>
    </row>
    <row r="549" spans="1:7" ht="15.6">
      <c r="A549" s="385">
        <v>210514</v>
      </c>
      <c r="B549" s="386" t="s">
        <v>2550</v>
      </c>
      <c r="C549" s="386" t="s">
        <v>206</v>
      </c>
      <c r="D549" s="387"/>
      <c r="G549" s="389"/>
    </row>
    <row r="550" spans="1:7" ht="15.6">
      <c r="A550" s="385">
        <v>210515</v>
      </c>
      <c r="B550" s="386" t="s">
        <v>2551</v>
      </c>
      <c r="C550" s="386" t="s">
        <v>206</v>
      </c>
      <c r="D550" s="387"/>
      <c r="G550" s="388"/>
    </row>
    <row r="551" spans="1:7" ht="15.6">
      <c r="A551" s="385">
        <v>210516</v>
      </c>
      <c r="B551" s="386" t="s">
        <v>2552</v>
      </c>
      <c r="C551" s="386" t="s">
        <v>206</v>
      </c>
      <c r="D551" s="387"/>
      <c r="G551" s="389"/>
    </row>
    <row r="552" spans="1:7" ht="15.6">
      <c r="A552" s="385">
        <v>210601</v>
      </c>
      <c r="B552" s="386" t="s">
        <v>2553</v>
      </c>
      <c r="C552" s="386" t="s">
        <v>2554</v>
      </c>
      <c r="D552" s="387"/>
      <c r="G552" s="389"/>
    </row>
    <row r="553" spans="1:7" ht="15.6">
      <c r="A553" s="385">
        <v>210602</v>
      </c>
      <c r="B553" s="386" t="s">
        <v>2555</v>
      </c>
      <c r="C553" s="386" t="s">
        <v>2554</v>
      </c>
      <c r="D553" s="387"/>
      <c r="G553" s="389"/>
    </row>
    <row r="554" spans="1:7" ht="15.6">
      <c r="A554" s="385">
        <v>210603</v>
      </c>
      <c r="B554" s="386" t="s">
        <v>2556</v>
      </c>
      <c r="C554" s="386" t="s">
        <v>2554</v>
      </c>
      <c r="D554" s="387"/>
      <c r="G554" s="389"/>
    </row>
    <row r="555" spans="1:7" ht="15.6">
      <c r="A555" s="385">
        <v>210604</v>
      </c>
      <c r="B555" s="386" t="s">
        <v>2557</v>
      </c>
      <c r="C555" s="386" t="s">
        <v>2554</v>
      </c>
      <c r="D555" s="387"/>
      <c r="G555" s="389"/>
    </row>
    <row r="556" spans="1:7" ht="27.6">
      <c r="A556" s="385">
        <v>210701</v>
      </c>
      <c r="B556" s="386" t="s">
        <v>2558</v>
      </c>
      <c r="C556" s="386" t="s">
        <v>206</v>
      </c>
      <c r="D556" s="387"/>
      <c r="G556" s="389"/>
    </row>
    <row r="557" spans="1:7" ht="27.6">
      <c r="A557" s="385">
        <v>210702</v>
      </c>
      <c r="B557" s="386" t="s">
        <v>2559</v>
      </c>
      <c r="C557" s="386" t="s">
        <v>206</v>
      </c>
      <c r="D557" s="387"/>
      <c r="G557" s="389"/>
    </row>
    <row r="558" spans="1:7" ht="27.6">
      <c r="A558" s="385">
        <v>210703</v>
      </c>
      <c r="B558" s="386" t="s">
        <v>2560</v>
      </c>
      <c r="C558" s="386" t="s">
        <v>206</v>
      </c>
      <c r="D558" s="387"/>
      <c r="G558" s="389"/>
    </row>
    <row r="559" spans="1:7" ht="27.6">
      <c r="A559" s="385">
        <v>210704</v>
      </c>
      <c r="B559" s="386" t="s">
        <v>2561</v>
      </c>
      <c r="C559" s="386" t="s">
        <v>206</v>
      </c>
      <c r="D559" s="387"/>
      <c r="G559" s="389"/>
    </row>
    <row r="560" spans="1:7" ht="27.6">
      <c r="A560" s="385">
        <v>210705</v>
      </c>
      <c r="B560" s="386" t="s">
        <v>2562</v>
      </c>
      <c r="C560" s="386" t="s">
        <v>206</v>
      </c>
      <c r="D560" s="387"/>
      <c r="G560" s="389"/>
    </row>
    <row r="561" spans="1:7" ht="27.6">
      <c r="A561" s="385">
        <v>210706</v>
      </c>
      <c r="B561" s="386" t="s">
        <v>2563</v>
      </c>
      <c r="C561" s="386" t="s">
        <v>206</v>
      </c>
      <c r="D561" s="387"/>
      <c r="G561" s="389"/>
    </row>
    <row r="562" spans="1:7" ht="27.6">
      <c r="A562" s="385">
        <v>210707</v>
      </c>
      <c r="B562" s="386" t="s">
        <v>2564</v>
      </c>
      <c r="C562" s="386" t="s">
        <v>206</v>
      </c>
      <c r="D562" s="387"/>
      <c r="G562" s="389"/>
    </row>
    <row r="563" spans="1:7" ht="27.6">
      <c r="A563" s="385">
        <v>210708</v>
      </c>
      <c r="B563" s="386" t="s">
        <v>2565</v>
      </c>
      <c r="C563" s="386" t="s">
        <v>206</v>
      </c>
      <c r="D563" s="387"/>
      <c r="G563" s="389"/>
    </row>
    <row r="564" spans="1:7" ht="27.6">
      <c r="A564" s="385">
        <v>210709</v>
      </c>
      <c r="B564" s="386" t="s">
        <v>2566</v>
      </c>
      <c r="C564" s="386" t="s">
        <v>206</v>
      </c>
      <c r="D564" s="387"/>
      <c r="G564" s="389"/>
    </row>
    <row r="565" spans="1:7" ht="27.6">
      <c r="A565" s="385">
        <v>210710</v>
      </c>
      <c r="B565" s="386" t="s">
        <v>2567</v>
      </c>
      <c r="C565" s="386" t="s">
        <v>206</v>
      </c>
      <c r="D565" s="387"/>
      <c r="G565" s="389"/>
    </row>
    <row r="566" spans="1:7" ht="27.6">
      <c r="A566" s="385">
        <v>210711</v>
      </c>
      <c r="B566" s="386" t="s">
        <v>2568</v>
      </c>
      <c r="C566" s="386" t="s">
        <v>206</v>
      </c>
      <c r="D566" s="387"/>
      <c r="G566" s="389"/>
    </row>
    <row r="567" spans="1:7" ht="27.6">
      <c r="A567" s="385">
        <v>210712</v>
      </c>
      <c r="B567" s="386" t="s">
        <v>2569</v>
      </c>
      <c r="C567" s="386" t="s">
        <v>206</v>
      </c>
      <c r="D567" s="387"/>
      <c r="G567" s="389"/>
    </row>
    <row r="568" spans="1:7" ht="27.6">
      <c r="A568" s="385">
        <v>210713</v>
      </c>
      <c r="B568" s="386" t="s">
        <v>2570</v>
      </c>
      <c r="C568" s="386" t="s">
        <v>206</v>
      </c>
      <c r="D568" s="387"/>
      <c r="G568" s="389"/>
    </row>
    <row r="569" spans="1:7" ht="27.6">
      <c r="A569" s="385">
        <v>210714</v>
      </c>
      <c r="B569" s="386" t="s">
        <v>2571</v>
      </c>
      <c r="C569" s="386" t="s">
        <v>206</v>
      </c>
      <c r="D569" s="387"/>
      <c r="G569" s="389"/>
    </row>
    <row r="570" spans="1:7" ht="27.6">
      <c r="A570" s="385">
        <v>210715</v>
      </c>
      <c r="B570" s="386" t="s">
        <v>2572</v>
      </c>
      <c r="C570" s="386" t="s">
        <v>206</v>
      </c>
      <c r="D570" s="387"/>
      <c r="G570" s="389"/>
    </row>
    <row r="571" spans="1:7" ht="27.6">
      <c r="A571" s="385">
        <v>210716</v>
      </c>
      <c r="B571" s="386" t="s">
        <v>2573</v>
      </c>
      <c r="C571" s="386" t="s">
        <v>206</v>
      </c>
      <c r="D571" s="387"/>
      <c r="G571" s="389"/>
    </row>
    <row r="572" spans="1:7" ht="15.6">
      <c r="A572" s="385">
        <v>220101</v>
      </c>
      <c r="B572" s="386" t="s">
        <v>2574</v>
      </c>
      <c r="C572" s="386" t="s">
        <v>206</v>
      </c>
      <c r="D572" s="387">
        <v>6055000</v>
      </c>
      <c r="G572" s="388"/>
    </row>
    <row r="573" spans="1:7" ht="15.6">
      <c r="A573" s="385">
        <v>220102</v>
      </c>
      <c r="B573" s="386" t="s">
        <v>2575</v>
      </c>
      <c r="C573" s="386" t="s">
        <v>206</v>
      </c>
      <c r="D573" s="387">
        <v>7026000</v>
      </c>
      <c r="G573" s="388"/>
    </row>
    <row r="574" spans="1:7" ht="15.6">
      <c r="A574" s="385">
        <v>220104</v>
      </c>
      <c r="B574" s="386" t="s">
        <v>2576</v>
      </c>
      <c r="C574" s="386" t="s">
        <v>206</v>
      </c>
      <c r="D574" s="387">
        <v>9110000</v>
      </c>
      <c r="G574" s="388"/>
    </row>
    <row r="575" spans="1:7" ht="15.6">
      <c r="A575" s="385">
        <v>220201</v>
      </c>
      <c r="B575" s="386" t="s">
        <v>2577</v>
      </c>
      <c r="C575" s="386" t="s">
        <v>206</v>
      </c>
      <c r="D575" s="387"/>
      <c r="G575" s="388"/>
    </row>
    <row r="576" spans="1:7" ht="15.6">
      <c r="A576" s="385">
        <v>220202</v>
      </c>
      <c r="B576" s="386" t="s">
        <v>2578</v>
      </c>
      <c r="C576" s="386" t="s">
        <v>206</v>
      </c>
      <c r="D576" s="387"/>
      <c r="G576" s="388"/>
    </row>
    <row r="577" spans="1:7" ht="15.6">
      <c r="A577" s="385">
        <v>220203</v>
      </c>
      <c r="B577" s="386" t="s">
        <v>2579</v>
      </c>
      <c r="C577" s="386" t="s">
        <v>206</v>
      </c>
      <c r="D577" s="387"/>
      <c r="G577" s="388"/>
    </row>
    <row r="578" spans="1:7" ht="15.6">
      <c r="A578" s="385">
        <v>230101</v>
      </c>
      <c r="B578" s="386" t="s">
        <v>2580</v>
      </c>
      <c r="C578" s="386" t="s">
        <v>206</v>
      </c>
      <c r="D578" s="387"/>
      <c r="G578" s="388"/>
    </row>
    <row r="579" spans="1:7" ht="15.6">
      <c r="A579" s="385">
        <v>230104</v>
      </c>
      <c r="B579" s="386" t="s">
        <v>2581</v>
      </c>
      <c r="C579" s="386" t="s">
        <v>206</v>
      </c>
      <c r="D579" s="387"/>
      <c r="G579" s="388"/>
    </row>
    <row r="580" spans="1:7" ht="15.6">
      <c r="A580" s="385">
        <v>230107</v>
      </c>
      <c r="B580" s="386" t="s">
        <v>2582</v>
      </c>
      <c r="C580" s="386" t="s">
        <v>206</v>
      </c>
      <c r="D580" s="387"/>
      <c r="G580" s="388"/>
    </row>
    <row r="581" spans="1:7" ht="15.6">
      <c r="A581" s="385">
        <v>230110</v>
      </c>
      <c r="B581" s="386" t="s">
        <v>2583</v>
      </c>
      <c r="C581" s="386" t="s">
        <v>206</v>
      </c>
      <c r="D581" s="387"/>
      <c r="G581" s="388"/>
    </row>
    <row r="582" spans="1:7" ht="15.6">
      <c r="A582" s="385">
        <v>230111</v>
      </c>
      <c r="B582" s="386" t="s">
        <v>2584</v>
      </c>
      <c r="C582" s="386" t="s">
        <v>206</v>
      </c>
      <c r="D582" s="387"/>
      <c r="G582" s="388"/>
    </row>
    <row r="583" spans="1:7" ht="27.6">
      <c r="A583" s="385">
        <v>240101</v>
      </c>
      <c r="B583" s="386" t="s">
        <v>2585</v>
      </c>
      <c r="C583" s="386" t="s">
        <v>206</v>
      </c>
      <c r="D583" s="387">
        <v>3948000</v>
      </c>
      <c r="G583" s="388"/>
    </row>
    <row r="584" spans="1:7" ht="41.4">
      <c r="A584" s="385">
        <v>240102</v>
      </c>
      <c r="B584" s="386" t="s">
        <v>2586</v>
      </c>
      <c r="C584" s="386" t="s">
        <v>206</v>
      </c>
      <c r="D584" s="387">
        <v>4005000</v>
      </c>
      <c r="G584" s="388"/>
    </row>
    <row r="585" spans="1:7" ht="27.6">
      <c r="A585" s="385">
        <v>240103</v>
      </c>
      <c r="B585" s="386" t="s">
        <v>2587</v>
      </c>
      <c r="C585" s="386" t="s">
        <v>206</v>
      </c>
      <c r="D585" s="387">
        <v>4786000</v>
      </c>
      <c r="G585" s="388"/>
    </row>
    <row r="586" spans="1:7" ht="41.4">
      <c r="A586" s="385">
        <v>240104</v>
      </c>
      <c r="B586" s="386" t="s">
        <v>2588</v>
      </c>
      <c r="C586" s="386" t="s">
        <v>206</v>
      </c>
      <c r="D586" s="387">
        <v>6115000</v>
      </c>
      <c r="G586" s="388"/>
    </row>
    <row r="587" spans="1:7" ht="41.4">
      <c r="A587" s="385">
        <v>240105</v>
      </c>
      <c r="B587" s="386" t="s">
        <v>2589</v>
      </c>
      <c r="C587" s="386" t="s">
        <v>206</v>
      </c>
      <c r="D587" s="387">
        <v>6876000</v>
      </c>
      <c r="G587" s="388"/>
    </row>
    <row r="588" spans="1:7" ht="27.6">
      <c r="A588" s="385">
        <v>240106</v>
      </c>
      <c r="B588" s="386" t="s">
        <v>2590</v>
      </c>
      <c r="C588" s="386" t="s">
        <v>206</v>
      </c>
      <c r="D588" s="387"/>
      <c r="G588" s="388"/>
    </row>
    <row r="589" spans="1:7" ht="41.4">
      <c r="A589" s="385">
        <v>240107</v>
      </c>
      <c r="B589" s="386" t="s">
        <v>2591</v>
      </c>
      <c r="C589" s="386" t="s">
        <v>206</v>
      </c>
      <c r="D589" s="387">
        <v>7700000</v>
      </c>
      <c r="G589" s="388"/>
    </row>
    <row r="590" spans="1:7" ht="15.6">
      <c r="A590" s="385">
        <v>240201</v>
      </c>
      <c r="B590" s="386" t="s">
        <v>2592</v>
      </c>
      <c r="C590" s="386" t="s">
        <v>206</v>
      </c>
      <c r="D590" s="387"/>
      <c r="G590" s="388"/>
    </row>
    <row r="591" spans="1:7" ht="15.6">
      <c r="A591" s="385">
        <v>240202</v>
      </c>
      <c r="B591" s="386" t="s">
        <v>2593</v>
      </c>
      <c r="C591" s="386" t="s">
        <v>206</v>
      </c>
      <c r="D591" s="387">
        <v>6344000</v>
      </c>
      <c r="G591" s="388"/>
    </row>
    <row r="592" spans="1:7" ht="15.6">
      <c r="A592" s="385">
        <v>240203</v>
      </c>
      <c r="B592" s="386" t="s">
        <v>2594</v>
      </c>
      <c r="C592" s="386" t="s">
        <v>206</v>
      </c>
      <c r="D592" s="387">
        <v>6800000</v>
      </c>
      <c r="G592" s="388"/>
    </row>
    <row r="593" spans="1:7" ht="15.6">
      <c r="A593" s="385">
        <v>240204</v>
      </c>
      <c r="B593" s="386" t="s">
        <v>2595</v>
      </c>
      <c r="C593" s="386" t="s">
        <v>206</v>
      </c>
      <c r="D593" s="387">
        <v>5981000</v>
      </c>
      <c r="G593" s="388"/>
    </row>
    <row r="594" spans="1:7" ht="15.6">
      <c r="A594" s="385">
        <v>240205</v>
      </c>
      <c r="B594" s="386" t="s">
        <v>2596</v>
      </c>
      <c r="C594" s="386" t="s">
        <v>206</v>
      </c>
      <c r="D594" s="387">
        <v>6502000</v>
      </c>
      <c r="G594" s="388"/>
    </row>
    <row r="595" spans="1:7" ht="15.6">
      <c r="A595" s="385">
        <v>240206</v>
      </c>
      <c r="B595" s="386" t="s">
        <v>2597</v>
      </c>
      <c r="C595" s="386" t="s">
        <v>206</v>
      </c>
      <c r="D595" s="387">
        <v>7221000</v>
      </c>
      <c r="G595" s="388"/>
    </row>
    <row r="596" spans="1:7" ht="15.6">
      <c r="A596" s="385">
        <v>240207</v>
      </c>
      <c r="B596" s="386" t="s">
        <v>2598</v>
      </c>
      <c r="C596" s="386" t="s">
        <v>206</v>
      </c>
      <c r="D596" s="387">
        <v>8018000</v>
      </c>
      <c r="G596" s="388"/>
    </row>
    <row r="597" spans="1:7" ht="15.6">
      <c r="A597" s="385">
        <v>240208</v>
      </c>
      <c r="B597" s="386" t="s">
        <v>2599</v>
      </c>
      <c r="C597" s="386" t="s">
        <v>206</v>
      </c>
      <c r="D597" s="387"/>
      <c r="G597" s="388"/>
    </row>
    <row r="598" spans="1:7" ht="15.6">
      <c r="A598" s="385">
        <v>240209</v>
      </c>
      <c r="B598" s="386" t="s">
        <v>2600</v>
      </c>
      <c r="C598" s="386" t="s">
        <v>206</v>
      </c>
      <c r="D598" s="387">
        <v>6970000</v>
      </c>
      <c r="G598" s="388"/>
    </row>
    <row r="599" spans="1:7" ht="15.6">
      <c r="A599" s="385">
        <v>240210</v>
      </c>
      <c r="B599" s="386" t="s">
        <v>2601</v>
      </c>
      <c r="C599" s="386" t="s">
        <v>206</v>
      </c>
      <c r="D599" s="387">
        <v>7622000</v>
      </c>
      <c r="G599" s="388"/>
    </row>
    <row r="600" spans="1:7" ht="15.6">
      <c r="A600" s="385">
        <v>240211</v>
      </c>
      <c r="B600" s="386" t="s">
        <v>2602</v>
      </c>
      <c r="C600" s="386" t="s">
        <v>206</v>
      </c>
      <c r="D600" s="387">
        <v>8602000</v>
      </c>
      <c r="G600" s="388"/>
    </row>
    <row r="601" spans="1:7" ht="15.6">
      <c r="A601" s="385">
        <v>240212</v>
      </c>
      <c r="B601" s="386" t="s">
        <v>2603</v>
      </c>
      <c r="C601" s="386" t="s">
        <v>206</v>
      </c>
      <c r="D601" s="387">
        <v>7901000</v>
      </c>
      <c r="G601" s="388"/>
    </row>
    <row r="602" spans="1:7" ht="15.6">
      <c r="A602" s="385">
        <v>240213</v>
      </c>
      <c r="B602" s="386" t="s">
        <v>2604</v>
      </c>
      <c r="C602" s="386" t="s">
        <v>206</v>
      </c>
      <c r="D602" s="387">
        <v>8129000</v>
      </c>
      <c r="G602" s="388"/>
    </row>
    <row r="603" spans="1:7" ht="15.6">
      <c r="A603" s="385">
        <v>240214</v>
      </c>
      <c r="B603" s="386" t="s">
        <v>2605</v>
      </c>
      <c r="C603" s="386" t="s">
        <v>206</v>
      </c>
      <c r="D603" s="387">
        <v>9109000</v>
      </c>
      <c r="G603" s="388"/>
    </row>
    <row r="604" spans="1:7" ht="15.6">
      <c r="A604" s="385">
        <v>240215</v>
      </c>
      <c r="B604" s="386" t="s">
        <v>2606</v>
      </c>
      <c r="C604" s="386" t="s">
        <v>206</v>
      </c>
      <c r="D604" s="387">
        <v>10742000</v>
      </c>
      <c r="G604" s="388"/>
    </row>
    <row r="605" spans="1:7" ht="15.6">
      <c r="A605" s="385">
        <v>240216</v>
      </c>
      <c r="B605" s="386" t="s">
        <v>2607</v>
      </c>
      <c r="C605" s="386" t="s">
        <v>206</v>
      </c>
      <c r="D605" s="387">
        <v>12198000</v>
      </c>
      <c r="G605" s="388"/>
    </row>
    <row r="606" spans="1:7" ht="15.6">
      <c r="A606" s="385">
        <v>240217</v>
      </c>
      <c r="B606" s="386" t="s">
        <v>2608</v>
      </c>
      <c r="C606" s="386" t="s">
        <v>206</v>
      </c>
      <c r="D606" s="387">
        <v>9142000</v>
      </c>
      <c r="G606" s="388"/>
    </row>
    <row r="607" spans="1:7" ht="15.6">
      <c r="A607" s="385">
        <v>240218</v>
      </c>
      <c r="B607" s="386" t="s">
        <v>2609</v>
      </c>
      <c r="C607" s="386" t="s">
        <v>206</v>
      </c>
      <c r="D607" s="387">
        <v>10317000</v>
      </c>
      <c r="G607" s="388"/>
    </row>
    <row r="608" spans="1:7" ht="15.6">
      <c r="A608" s="385">
        <v>240219</v>
      </c>
      <c r="B608" s="386" t="s">
        <v>2610</v>
      </c>
      <c r="C608" s="386" t="s">
        <v>206</v>
      </c>
      <c r="D608" s="387">
        <v>12146000</v>
      </c>
      <c r="G608" s="388"/>
    </row>
    <row r="609" spans="1:7" ht="15.6">
      <c r="A609" s="385">
        <v>240220</v>
      </c>
      <c r="B609" s="386" t="s">
        <v>2611</v>
      </c>
      <c r="C609" s="386" t="s">
        <v>206</v>
      </c>
      <c r="D609" s="387">
        <v>14235000</v>
      </c>
      <c r="G609" s="388"/>
    </row>
    <row r="610" spans="1:7" ht="15.6">
      <c r="A610" s="385">
        <v>240221</v>
      </c>
      <c r="B610" s="386" t="s">
        <v>2612</v>
      </c>
      <c r="C610" s="386" t="s">
        <v>206</v>
      </c>
      <c r="D610" s="387">
        <v>11568000</v>
      </c>
      <c r="G610" s="388"/>
    </row>
    <row r="611" spans="1:7" ht="15.6">
      <c r="A611" s="385">
        <v>240222</v>
      </c>
      <c r="B611" s="386" t="s">
        <v>2613</v>
      </c>
      <c r="C611" s="386" t="s">
        <v>206</v>
      </c>
      <c r="D611" s="387">
        <v>13357000</v>
      </c>
      <c r="G611" s="388"/>
    </row>
    <row r="612" spans="1:7" ht="15.6">
      <c r="A612" s="385">
        <v>240223</v>
      </c>
      <c r="B612" s="386" t="s">
        <v>2614</v>
      </c>
      <c r="C612" s="386" t="s">
        <v>206</v>
      </c>
      <c r="D612" s="387">
        <v>16296000</v>
      </c>
      <c r="G612" s="388"/>
    </row>
    <row r="613" spans="1:7" ht="15.6">
      <c r="A613" s="385">
        <v>240224</v>
      </c>
      <c r="B613" s="386" t="s">
        <v>2615</v>
      </c>
      <c r="C613" s="386" t="s">
        <v>206</v>
      </c>
      <c r="D613" s="387">
        <v>19088000</v>
      </c>
      <c r="G613" s="388"/>
    </row>
    <row r="614" spans="1:7" ht="15.6">
      <c r="A614" s="385">
        <v>240225</v>
      </c>
      <c r="B614" s="386" t="s">
        <v>2616</v>
      </c>
      <c r="C614" s="386" t="s">
        <v>206</v>
      </c>
      <c r="D614" s="387">
        <v>17780000</v>
      </c>
      <c r="G614" s="388"/>
    </row>
    <row r="615" spans="1:7" ht="15.6">
      <c r="A615" s="385">
        <v>240226</v>
      </c>
      <c r="B615" s="386" t="s">
        <v>2617</v>
      </c>
      <c r="C615" s="386" t="s">
        <v>206</v>
      </c>
      <c r="D615" s="387">
        <v>21307000</v>
      </c>
      <c r="G615" s="388"/>
    </row>
    <row r="616" spans="1:7" ht="15.6">
      <c r="A616" s="385">
        <v>240227</v>
      </c>
      <c r="B616" s="386" t="s">
        <v>2618</v>
      </c>
      <c r="C616" s="386" t="s">
        <v>206</v>
      </c>
      <c r="D616" s="387">
        <v>24442000</v>
      </c>
      <c r="G616" s="388"/>
    </row>
    <row r="617" spans="1:7" ht="15.6">
      <c r="A617" s="385">
        <v>240228</v>
      </c>
      <c r="B617" s="386" t="s">
        <v>2619</v>
      </c>
      <c r="C617" s="386" t="s">
        <v>206</v>
      </c>
      <c r="D617" s="387">
        <v>23186000</v>
      </c>
      <c r="G617" s="388"/>
    </row>
    <row r="618" spans="1:7" ht="15.6">
      <c r="A618" s="385">
        <v>240229</v>
      </c>
      <c r="B618" s="386" t="s">
        <v>2620</v>
      </c>
      <c r="C618" s="386" t="s">
        <v>206</v>
      </c>
      <c r="D618" s="387">
        <v>27104000</v>
      </c>
      <c r="G618" s="388"/>
    </row>
    <row r="619" spans="1:7" ht="15.6">
      <c r="A619" s="385">
        <v>240401</v>
      </c>
      <c r="B619" s="386" t="s">
        <v>2621</v>
      </c>
      <c r="C619" s="386" t="s">
        <v>206</v>
      </c>
      <c r="D619" s="387">
        <v>2646000</v>
      </c>
      <c r="G619" s="388"/>
    </row>
    <row r="620" spans="1:7" ht="15.6">
      <c r="A620" s="385">
        <v>240402</v>
      </c>
      <c r="B620" s="386" t="s">
        <v>2622</v>
      </c>
      <c r="C620" s="386" t="s">
        <v>206</v>
      </c>
      <c r="D620" s="387">
        <v>2801000</v>
      </c>
      <c r="G620" s="388"/>
    </row>
    <row r="621" spans="1:7" ht="15.6">
      <c r="A621" s="385">
        <v>240403</v>
      </c>
      <c r="B621" s="386" t="s">
        <v>2623</v>
      </c>
      <c r="C621" s="386" t="s">
        <v>206</v>
      </c>
      <c r="D621" s="387">
        <v>3205000</v>
      </c>
      <c r="G621" s="388"/>
    </row>
    <row r="622" spans="1:7" ht="15.6">
      <c r="A622" s="385">
        <v>240404</v>
      </c>
      <c r="B622" s="386" t="s">
        <v>2624</v>
      </c>
      <c r="C622" s="386" t="s">
        <v>206</v>
      </c>
      <c r="D622" s="387">
        <v>3607000</v>
      </c>
      <c r="G622" s="388"/>
    </row>
    <row r="623" spans="1:7" ht="15.6">
      <c r="A623" s="385">
        <v>240405</v>
      </c>
      <c r="B623" s="386" t="s">
        <v>2625</v>
      </c>
      <c r="C623" s="386" t="s">
        <v>206</v>
      </c>
      <c r="D623" s="387">
        <v>4316000</v>
      </c>
      <c r="G623" s="388"/>
    </row>
    <row r="624" spans="1:7" ht="15.6">
      <c r="A624" s="385">
        <v>240406</v>
      </c>
      <c r="B624" s="386" t="s">
        <v>2626</v>
      </c>
      <c r="C624" s="386" t="s">
        <v>206</v>
      </c>
      <c r="D624" s="387">
        <v>4778000</v>
      </c>
      <c r="G624" s="388"/>
    </row>
    <row r="625" spans="1:7" ht="15.6">
      <c r="A625" s="385">
        <v>240407</v>
      </c>
      <c r="B625" s="386" t="s">
        <v>2627</v>
      </c>
      <c r="C625" s="386" t="s">
        <v>206</v>
      </c>
      <c r="D625" s="387">
        <v>5832000</v>
      </c>
      <c r="G625" s="388"/>
    </row>
    <row r="626" spans="1:7" ht="15.6">
      <c r="A626" s="385">
        <v>240408</v>
      </c>
      <c r="B626" s="386" t="s">
        <v>2628</v>
      </c>
      <c r="C626" s="386" t="s">
        <v>206</v>
      </c>
      <c r="D626" s="387">
        <v>7515000</v>
      </c>
      <c r="G626" s="388"/>
    </row>
    <row r="627" spans="1:7" ht="15.6">
      <c r="A627" s="385">
        <v>240409</v>
      </c>
      <c r="B627" s="386" t="s">
        <v>2629</v>
      </c>
      <c r="C627" s="386" t="s">
        <v>206</v>
      </c>
      <c r="D627" s="387">
        <v>8597000</v>
      </c>
      <c r="G627" s="388"/>
    </row>
    <row r="628" spans="1:7" ht="15.6">
      <c r="A628" s="385">
        <v>240410</v>
      </c>
      <c r="B628" s="386" t="s">
        <v>2630</v>
      </c>
      <c r="C628" s="386" t="s">
        <v>206</v>
      </c>
      <c r="D628" s="387">
        <v>12196000</v>
      </c>
      <c r="G628" s="388"/>
    </row>
    <row r="629" spans="1:7" ht="15.6">
      <c r="A629" s="385">
        <v>240411</v>
      </c>
      <c r="B629" s="386" t="s">
        <v>2631</v>
      </c>
      <c r="C629" s="386" t="s">
        <v>206</v>
      </c>
      <c r="D629" s="387">
        <v>14296000</v>
      </c>
      <c r="G629" s="388"/>
    </row>
    <row r="630" spans="1:7" ht="15.6">
      <c r="A630" s="385">
        <v>240412</v>
      </c>
      <c r="B630" s="386" t="s">
        <v>2632</v>
      </c>
      <c r="C630" s="386" t="s">
        <v>206</v>
      </c>
      <c r="D630" s="387"/>
      <c r="G630" s="388"/>
    </row>
    <row r="631" spans="1:7" ht="15.6">
      <c r="A631" s="385">
        <v>240413</v>
      </c>
      <c r="B631" s="386" t="s">
        <v>2633</v>
      </c>
      <c r="C631" s="386" t="s">
        <v>206</v>
      </c>
      <c r="D631" s="387"/>
      <c r="G631" s="388"/>
    </row>
    <row r="632" spans="1:7" ht="15.6">
      <c r="A632" s="385">
        <v>240414</v>
      </c>
      <c r="B632" s="386" t="s">
        <v>2634</v>
      </c>
      <c r="C632" s="386" t="s">
        <v>206</v>
      </c>
      <c r="D632" s="387"/>
      <c r="G632" s="388"/>
    </row>
    <row r="633" spans="1:7" ht="15.6">
      <c r="A633" s="385">
        <v>240415</v>
      </c>
      <c r="B633" s="386" t="s">
        <v>2635</v>
      </c>
      <c r="C633" s="386" t="s">
        <v>206</v>
      </c>
      <c r="D633" s="387"/>
      <c r="G633" s="388"/>
    </row>
    <row r="634" spans="1:7" ht="27.6">
      <c r="A634" s="385">
        <v>250210</v>
      </c>
      <c r="B634" s="386" t="s">
        <v>2636</v>
      </c>
      <c r="C634" s="386" t="s">
        <v>242</v>
      </c>
      <c r="D634" s="387">
        <v>66700</v>
      </c>
      <c r="G634" s="388"/>
    </row>
    <row r="635" spans="1:7" ht="27.6">
      <c r="A635" s="385">
        <v>250211</v>
      </c>
      <c r="B635" s="386" t="s">
        <v>2637</v>
      </c>
      <c r="C635" s="386" t="s">
        <v>242</v>
      </c>
      <c r="D635" s="387">
        <v>78300</v>
      </c>
      <c r="G635" s="388"/>
    </row>
    <row r="636" spans="1:7" ht="27.6">
      <c r="A636" s="385">
        <v>250212</v>
      </c>
      <c r="B636" s="386" t="s">
        <v>2638</v>
      </c>
      <c r="C636" s="386" t="s">
        <v>242</v>
      </c>
      <c r="D636" s="387">
        <v>96100</v>
      </c>
      <c r="G636" s="388"/>
    </row>
    <row r="637" spans="1:7" ht="27.6">
      <c r="A637" s="385">
        <v>250213</v>
      </c>
      <c r="B637" s="386" t="s">
        <v>2639</v>
      </c>
      <c r="C637" s="386" t="s">
        <v>242</v>
      </c>
      <c r="D637" s="387">
        <v>123500</v>
      </c>
      <c r="G637" s="388"/>
    </row>
    <row r="638" spans="1:7" ht="27.6">
      <c r="A638" s="385">
        <v>250214</v>
      </c>
      <c r="B638" s="386" t="s">
        <v>2640</v>
      </c>
      <c r="C638" s="386" t="s">
        <v>242</v>
      </c>
      <c r="D638" s="387">
        <v>128500</v>
      </c>
      <c r="G638" s="388"/>
    </row>
    <row r="639" spans="1:7" ht="27.6">
      <c r="A639" s="385">
        <v>250410</v>
      </c>
      <c r="B639" s="386" t="s">
        <v>2641</v>
      </c>
      <c r="C639" s="386" t="s">
        <v>242</v>
      </c>
      <c r="D639" s="387">
        <v>134500</v>
      </c>
      <c r="G639" s="388"/>
    </row>
    <row r="640" spans="1:7" ht="27.6">
      <c r="A640" s="385">
        <v>250411</v>
      </c>
      <c r="B640" s="386" t="s">
        <v>2642</v>
      </c>
      <c r="C640" s="386" t="s">
        <v>242</v>
      </c>
      <c r="D640" s="387">
        <v>143000</v>
      </c>
      <c r="G640" s="388"/>
    </row>
    <row r="641" spans="1:7" ht="27.6">
      <c r="A641" s="385">
        <v>250412</v>
      </c>
      <c r="B641" s="386" t="s">
        <v>2643</v>
      </c>
      <c r="C641" s="386" t="s">
        <v>242</v>
      </c>
      <c r="D641" s="387">
        <v>154500</v>
      </c>
      <c r="G641" s="388"/>
    </row>
    <row r="642" spans="1:7" ht="27.6">
      <c r="A642" s="385">
        <v>250413</v>
      </c>
      <c r="B642" s="386" t="s">
        <v>2644</v>
      </c>
      <c r="C642" s="386" t="s">
        <v>242</v>
      </c>
      <c r="D642" s="387">
        <v>186500</v>
      </c>
      <c r="G642" s="388"/>
    </row>
    <row r="643" spans="1:7" ht="27.6">
      <c r="A643" s="385">
        <v>250414</v>
      </c>
      <c r="B643" s="386" t="s">
        <v>2645</v>
      </c>
      <c r="C643" s="386" t="s">
        <v>242</v>
      </c>
      <c r="D643" s="387">
        <v>198000</v>
      </c>
      <c r="G643" s="388"/>
    </row>
    <row r="644" spans="1:7" ht="27.6">
      <c r="A644" s="385">
        <v>250501</v>
      </c>
      <c r="B644" s="386" t="s">
        <v>2646</v>
      </c>
      <c r="C644" s="386" t="s">
        <v>242</v>
      </c>
      <c r="D644" s="387">
        <v>45500</v>
      </c>
      <c r="G644" s="388"/>
    </row>
    <row r="645" spans="1:7" ht="27.6">
      <c r="A645" s="385">
        <v>250502</v>
      </c>
      <c r="B645" s="386" t="s">
        <v>2647</v>
      </c>
      <c r="C645" s="386" t="s">
        <v>242</v>
      </c>
      <c r="D645" s="387">
        <v>49500</v>
      </c>
      <c r="G645" s="388"/>
    </row>
    <row r="646" spans="1:7" ht="27.6">
      <c r="A646" s="385">
        <v>250503</v>
      </c>
      <c r="B646" s="386" t="s">
        <v>2648</v>
      </c>
      <c r="C646" s="386" t="s">
        <v>242</v>
      </c>
      <c r="D646" s="387">
        <v>53900</v>
      </c>
      <c r="G646" s="388"/>
    </row>
    <row r="647" spans="1:7" ht="27.6">
      <c r="A647" s="385">
        <v>250504</v>
      </c>
      <c r="B647" s="386" t="s">
        <v>2649</v>
      </c>
      <c r="C647" s="386" t="s">
        <v>242</v>
      </c>
      <c r="D647" s="387">
        <v>59400</v>
      </c>
      <c r="G647" s="388"/>
    </row>
    <row r="648" spans="1:7" ht="27.6">
      <c r="A648" s="385">
        <v>250505</v>
      </c>
      <c r="B648" s="386" t="s">
        <v>2650</v>
      </c>
      <c r="C648" s="386" t="s">
        <v>242</v>
      </c>
      <c r="D648" s="387">
        <v>63400</v>
      </c>
      <c r="G648" s="388"/>
    </row>
    <row r="649" spans="1:7" ht="27.6">
      <c r="A649" s="385">
        <v>250506</v>
      </c>
      <c r="B649" s="386" t="s">
        <v>2651</v>
      </c>
      <c r="C649" s="386" t="s">
        <v>242</v>
      </c>
      <c r="D649" s="387">
        <v>67800</v>
      </c>
      <c r="G649" s="388"/>
    </row>
    <row r="650" spans="1:7" ht="27.6">
      <c r="A650" s="385">
        <v>250507</v>
      </c>
      <c r="B650" s="386" t="s">
        <v>2652</v>
      </c>
      <c r="C650" s="386" t="s">
        <v>242</v>
      </c>
      <c r="D650" s="387">
        <v>79000</v>
      </c>
      <c r="G650" s="388"/>
    </row>
    <row r="651" spans="1:7" ht="27.6">
      <c r="A651" s="385">
        <v>250508</v>
      </c>
      <c r="B651" s="386" t="s">
        <v>2653</v>
      </c>
      <c r="C651" s="386" t="s">
        <v>242</v>
      </c>
      <c r="D651" s="387">
        <v>86200</v>
      </c>
      <c r="G651" s="388"/>
    </row>
    <row r="652" spans="1:7" ht="27.6">
      <c r="A652" s="385">
        <v>250509</v>
      </c>
      <c r="B652" s="386" t="s">
        <v>2654</v>
      </c>
      <c r="C652" s="386" t="s">
        <v>242</v>
      </c>
      <c r="D652" s="387">
        <v>101000</v>
      </c>
      <c r="G652" s="388"/>
    </row>
    <row r="653" spans="1:7" ht="27.6">
      <c r="A653" s="385">
        <v>250601</v>
      </c>
      <c r="B653" s="386" t="s">
        <v>2655</v>
      </c>
      <c r="C653" s="386" t="s">
        <v>242</v>
      </c>
      <c r="D653" s="387">
        <v>87900</v>
      </c>
      <c r="G653" s="388"/>
    </row>
    <row r="654" spans="1:7" ht="27.6">
      <c r="A654" s="385">
        <v>250602</v>
      </c>
      <c r="B654" s="386" t="s">
        <v>2656</v>
      </c>
      <c r="C654" s="386" t="s">
        <v>242</v>
      </c>
      <c r="D654" s="387">
        <v>93100</v>
      </c>
      <c r="G654" s="388"/>
    </row>
    <row r="655" spans="1:7" ht="27.6">
      <c r="A655" s="385">
        <v>250603</v>
      </c>
      <c r="B655" s="386" t="s">
        <v>2657</v>
      </c>
      <c r="C655" s="386" t="s">
        <v>242</v>
      </c>
      <c r="D655" s="387">
        <v>97600</v>
      </c>
      <c r="G655" s="388"/>
    </row>
    <row r="656" spans="1:7" ht="27.6">
      <c r="A656" s="385">
        <v>250604</v>
      </c>
      <c r="B656" s="386" t="s">
        <v>2658</v>
      </c>
      <c r="C656" s="386" t="s">
        <v>242</v>
      </c>
      <c r="D656" s="387">
        <v>112500</v>
      </c>
      <c r="G656" s="388"/>
    </row>
    <row r="657" spans="1:7" ht="27.6">
      <c r="A657" s="385">
        <v>250605</v>
      </c>
      <c r="B657" s="386" t="s">
        <v>2659</v>
      </c>
      <c r="C657" s="386" t="s">
        <v>242</v>
      </c>
      <c r="D657" s="387">
        <v>112500</v>
      </c>
      <c r="G657" s="388"/>
    </row>
    <row r="658" spans="1:7" ht="27.6">
      <c r="A658" s="385">
        <v>250606</v>
      </c>
      <c r="B658" s="386" t="s">
        <v>2660</v>
      </c>
      <c r="C658" s="386" t="s">
        <v>242</v>
      </c>
      <c r="D658" s="387">
        <v>122500</v>
      </c>
      <c r="G658" s="388"/>
    </row>
    <row r="659" spans="1:7" ht="27.6">
      <c r="A659" s="385">
        <v>250607</v>
      </c>
      <c r="B659" s="386" t="s">
        <v>2661</v>
      </c>
      <c r="C659" s="386" t="s">
        <v>242</v>
      </c>
      <c r="D659" s="387">
        <v>138500</v>
      </c>
      <c r="G659" s="388"/>
    </row>
    <row r="660" spans="1:7" ht="27.6">
      <c r="A660" s="385">
        <v>250608</v>
      </c>
      <c r="B660" s="386" t="s">
        <v>2662</v>
      </c>
      <c r="C660" s="386" t="s">
        <v>242</v>
      </c>
      <c r="D660" s="387">
        <v>151000</v>
      </c>
      <c r="G660" s="388"/>
    </row>
    <row r="661" spans="1:7" ht="27.6">
      <c r="A661" s="385">
        <v>250609</v>
      </c>
      <c r="B661" s="386" t="s">
        <v>2663</v>
      </c>
      <c r="C661" s="386" t="s">
        <v>242</v>
      </c>
      <c r="D661" s="387">
        <v>188500</v>
      </c>
      <c r="G661" s="388"/>
    </row>
    <row r="662" spans="1:7" ht="27.6">
      <c r="A662" s="385">
        <v>250701</v>
      </c>
      <c r="B662" s="386" t="s">
        <v>2664</v>
      </c>
      <c r="C662" s="386" t="s">
        <v>15</v>
      </c>
      <c r="D662" s="387">
        <v>72100</v>
      </c>
      <c r="G662" s="388"/>
    </row>
    <row r="663" spans="1:7" ht="27.6">
      <c r="A663" s="385">
        <v>250702</v>
      </c>
      <c r="B663" s="386" t="s">
        <v>2665</v>
      </c>
      <c r="C663" s="386" t="s">
        <v>15</v>
      </c>
      <c r="D663" s="387">
        <v>92700</v>
      </c>
      <c r="G663" s="388"/>
    </row>
    <row r="664" spans="1:7" ht="41.4">
      <c r="A664" s="385">
        <v>250801</v>
      </c>
      <c r="B664" s="386" t="s">
        <v>2666</v>
      </c>
      <c r="C664" s="386" t="s">
        <v>15</v>
      </c>
      <c r="D664" s="387">
        <v>135000</v>
      </c>
      <c r="G664" s="388"/>
    </row>
    <row r="665" spans="1:7" ht="41.4">
      <c r="A665" s="385">
        <v>250802</v>
      </c>
      <c r="B665" s="386" t="s">
        <v>2667</v>
      </c>
      <c r="C665" s="386" t="s">
        <v>15</v>
      </c>
      <c r="D665" s="387">
        <v>158500</v>
      </c>
      <c r="G665" s="388"/>
    </row>
    <row r="666" spans="1:7" ht="15.6">
      <c r="A666" s="385">
        <v>250901</v>
      </c>
      <c r="B666" s="386" t="s">
        <v>2668</v>
      </c>
      <c r="C666" s="386" t="s">
        <v>242</v>
      </c>
      <c r="D666" s="387">
        <v>31600</v>
      </c>
      <c r="G666" s="388"/>
    </row>
    <row r="667" spans="1:7" ht="15.6">
      <c r="A667" s="385">
        <v>250902</v>
      </c>
      <c r="B667" s="386" t="s">
        <v>2669</v>
      </c>
      <c r="C667" s="386" t="s">
        <v>242</v>
      </c>
      <c r="D667" s="387">
        <v>34400</v>
      </c>
      <c r="G667" s="388"/>
    </row>
    <row r="668" spans="1:7" ht="15.6">
      <c r="A668" s="385">
        <v>250903</v>
      </c>
      <c r="B668" s="386" t="s">
        <v>2670</v>
      </c>
      <c r="C668" s="386" t="s">
        <v>242</v>
      </c>
      <c r="D668" s="387">
        <v>37200</v>
      </c>
      <c r="G668" s="388"/>
    </row>
    <row r="669" spans="1:7" ht="15.6">
      <c r="A669" s="385">
        <v>250904</v>
      </c>
      <c r="B669" s="386" t="s">
        <v>2671</v>
      </c>
      <c r="C669" s="386" t="s">
        <v>242</v>
      </c>
      <c r="D669" s="387">
        <v>40500</v>
      </c>
      <c r="G669" s="388"/>
    </row>
    <row r="670" spans="1:7" ht="15.6">
      <c r="A670" s="385">
        <v>250905</v>
      </c>
      <c r="B670" s="386" t="s">
        <v>2672</v>
      </c>
      <c r="C670" s="386" t="s">
        <v>242</v>
      </c>
      <c r="D670" s="387">
        <v>42900</v>
      </c>
      <c r="G670" s="388"/>
    </row>
    <row r="671" spans="1:7" ht="15.6">
      <c r="A671" s="385">
        <v>250906</v>
      </c>
      <c r="B671" s="386" t="s">
        <v>2673</v>
      </c>
      <c r="C671" s="386" t="s">
        <v>242</v>
      </c>
      <c r="D671" s="387">
        <v>47300</v>
      </c>
      <c r="G671" s="388"/>
    </row>
    <row r="672" spans="1:7" ht="15.6">
      <c r="A672" s="385">
        <v>250907</v>
      </c>
      <c r="B672" s="386" t="s">
        <v>2674</v>
      </c>
      <c r="C672" s="386" t="s">
        <v>242</v>
      </c>
      <c r="D672" s="387">
        <v>55200</v>
      </c>
      <c r="G672" s="388"/>
    </row>
    <row r="673" spans="1:7" ht="15.6">
      <c r="A673" s="385">
        <v>250908</v>
      </c>
      <c r="B673" s="386" t="s">
        <v>2675</v>
      </c>
      <c r="C673" s="386" t="s">
        <v>242</v>
      </c>
      <c r="D673" s="387">
        <v>59600</v>
      </c>
      <c r="G673" s="388"/>
    </row>
    <row r="674" spans="1:7" ht="15.6">
      <c r="A674" s="385">
        <v>250909</v>
      </c>
      <c r="B674" s="386" t="s">
        <v>2676</v>
      </c>
      <c r="C674" s="386" t="s">
        <v>242</v>
      </c>
      <c r="D674" s="387">
        <v>73100</v>
      </c>
      <c r="G674" s="388"/>
    </row>
    <row r="675" spans="1:7" ht="15.6">
      <c r="A675" s="385">
        <v>250910</v>
      </c>
      <c r="B675" s="386" t="s">
        <v>2677</v>
      </c>
      <c r="C675" s="386" t="s">
        <v>242</v>
      </c>
      <c r="D675" s="387">
        <v>82900</v>
      </c>
      <c r="G675" s="388"/>
    </row>
    <row r="676" spans="1:7" ht="15.6">
      <c r="A676" s="385">
        <v>250911</v>
      </c>
      <c r="B676" s="386" t="s">
        <v>2678</v>
      </c>
      <c r="C676" s="386" t="s">
        <v>242</v>
      </c>
      <c r="D676" s="387">
        <v>96900</v>
      </c>
      <c r="G676" s="388"/>
    </row>
    <row r="677" spans="1:7" ht="27.6">
      <c r="A677" s="385">
        <v>251801</v>
      </c>
      <c r="B677" s="386" t="s">
        <v>2679</v>
      </c>
      <c r="C677" s="386" t="s">
        <v>242</v>
      </c>
      <c r="D677" s="387">
        <v>46600</v>
      </c>
      <c r="G677" s="388"/>
    </row>
    <row r="678" spans="1:7" ht="27.6">
      <c r="A678" s="385">
        <v>251802</v>
      </c>
      <c r="B678" s="386" t="s">
        <v>2680</v>
      </c>
      <c r="C678" s="386" t="s">
        <v>242</v>
      </c>
      <c r="D678" s="387">
        <v>49800</v>
      </c>
      <c r="G678" s="388"/>
    </row>
    <row r="679" spans="1:7" ht="27.6">
      <c r="A679" s="385">
        <v>251803</v>
      </c>
      <c r="B679" s="386" t="s">
        <v>2681</v>
      </c>
      <c r="C679" s="386" t="s">
        <v>242</v>
      </c>
      <c r="D679" s="387">
        <v>65600</v>
      </c>
      <c r="G679" s="388"/>
    </row>
    <row r="680" spans="1:7" ht="27.6">
      <c r="A680" s="385">
        <v>251804</v>
      </c>
      <c r="B680" s="386" t="s">
        <v>2682</v>
      </c>
      <c r="C680" s="386" t="s">
        <v>242</v>
      </c>
      <c r="D680" s="387">
        <v>78500</v>
      </c>
      <c r="G680" s="388"/>
    </row>
    <row r="681" spans="1:7" ht="27.6">
      <c r="A681" s="385">
        <v>251805</v>
      </c>
      <c r="B681" s="386" t="s">
        <v>2683</v>
      </c>
      <c r="C681" s="386" t="s">
        <v>242</v>
      </c>
      <c r="D681" s="387">
        <v>91900</v>
      </c>
      <c r="G681" s="388"/>
    </row>
    <row r="682" spans="1:7" ht="27.6">
      <c r="A682" s="385">
        <v>251806</v>
      </c>
      <c r="B682" s="386" t="s">
        <v>2684</v>
      </c>
      <c r="C682" s="386" t="s">
        <v>242</v>
      </c>
      <c r="D682" s="387">
        <v>106500</v>
      </c>
      <c r="G682" s="388"/>
    </row>
    <row r="683" spans="1:7" ht="27.6">
      <c r="A683" s="385">
        <v>251807</v>
      </c>
      <c r="B683" s="386" t="s">
        <v>2685</v>
      </c>
      <c r="C683" s="386" t="s">
        <v>242</v>
      </c>
      <c r="D683" s="387"/>
      <c r="G683" s="388"/>
    </row>
    <row r="684" spans="1:7" ht="27.6">
      <c r="A684" s="385">
        <v>251808</v>
      </c>
      <c r="B684" s="386" t="s">
        <v>2686</v>
      </c>
      <c r="C684" s="386" t="s">
        <v>242</v>
      </c>
      <c r="D684" s="387"/>
      <c r="G684" s="388"/>
    </row>
    <row r="685" spans="1:7" ht="27.6">
      <c r="A685" s="385">
        <v>251901</v>
      </c>
      <c r="B685" s="386" t="s">
        <v>2687</v>
      </c>
      <c r="C685" s="386" t="s">
        <v>242</v>
      </c>
      <c r="D685" s="387">
        <v>63400</v>
      </c>
      <c r="G685" s="388"/>
    </row>
    <row r="686" spans="1:7" ht="27.6">
      <c r="A686" s="385">
        <v>251902</v>
      </c>
      <c r="B686" s="386" t="s">
        <v>2688</v>
      </c>
      <c r="C686" s="386" t="s">
        <v>242</v>
      </c>
      <c r="D686" s="387">
        <v>69100</v>
      </c>
      <c r="G686" s="388"/>
    </row>
    <row r="687" spans="1:7" ht="27.6">
      <c r="A687" s="385">
        <v>251903</v>
      </c>
      <c r="B687" s="386" t="s">
        <v>2689</v>
      </c>
      <c r="C687" s="386" t="s">
        <v>242</v>
      </c>
      <c r="D687" s="387">
        <v>80900</v>
      </c>
      <c r="G687" s="388"/>
    </row>
    <row r="688" spans="1:7" ht="27.6">
      <c r="A688" s="385">
        <v>251904</v>
      </c>
      <c r="B688" s="386" t="s">
        <v>2690</v>
      </c>
      <c r="C688" s="386" t="s">
        <v>242</v>
      </c>
      <c r="D688" s="387">
        <v>95000</v>
      </c>
      <c r="G688" s="388"/>
    </row>
    <row r="689" spans="1:7" ht="27.6">
      <c r="A689" s="385">
        <v>251905</v>
      </c>
      <c r="B689" s="386" t="s">
        <v>2691</v>
      </c>
      <c r="C689" s="386" t="s">
        <v>242</v>
      </c>
      <c r="D689" s="387">
        <v>105000</v>
      </c>
      <c r="G689" s="388"/>
    </row>
    <row r="690" spans="1:7" ht="27.6">
      <c r="A690" s="385">
        <v>251906</v>
      </c>
      <c r="B690" s="386" t="s">
        <v>2692</v>
      </c>
      <c r="C690" s="386" t="s">
        <v>242</v>
      </c>
      <c r="D690" s="387">
        <v>124000</v>
      </c>
      <c r="G690" s="388"/>
    </row>
    <row r="691" spans="1:7" ht="27.6">
      <c r="A691" s="385">
        <v>251907</v>
      </c>
      <c r="B691" s="386" t="s">
        <v>2693</v>
      </c>
      <c r="C691" s="386" t="s">
        <v>242</v>
      </c>
      <c r="D691" s="387">
        <v>144000</v>
      </c>
      <c r="G691" s="388"/>
    </row>
    <row r="692" spans="1:7" ht="27.6">
      <c r="A692" s="385">
        <v>251908</v>
      </c>
      <c r="B692" s="386" t="s">
        <v>2694</v>
      </c>
      <c r="C692" s="386" t="s">
        <v>242</v>
      </c>
      <c r="D692" s="387">
        <v>166000</v>
      </c>
      <c r="G692" s="388"/>
    </row>
    <row r="693" spans="1:7" ht="27.6">
      <c r="A693" s="385">
        <v>252001</v>
      </c>
      <c r="B693" s="386" t="s">
        <v>2695</v>
      </c>
      <c r="C693" s="386" t="s">
        <v>242</v>
      </c>
      <c r="D693" s="387">
        <v>96800</v>
      </c>
      <c r="G693" s="388"/>
    </row>
    <row r="694" spans="1:7" ht="27.6">
      <c r="A694" s="385">
        <v>252002</v>
      </c>
      <c r="B694" s="386" t="s">
        <v>2696</v>
      </c>
      <c r="C694" s="386" t="s">
        <v>242</v>
      </c>
      <c r="D694" s="387">
        <v>105000</v>
      </c>
      <c r="G694" s="388"/>
    </row>
    <row r="695" spans="1:7" ht="27.6">
      <c r="A695" s="385">
        <v>252003</v>
      </c>
      <c r="B695" s="386" t="s">
        <v>2697</v>
      </c>
      <c r="C695" s="386" t="s">
        <v>242</v>
      </c>
      <c r="D695" s="387">
        <v>122500</v>
      </c>
      <c r="G695" s="388"/>
    </row>
    <row r="696" spans="1:7" ht="27.6">
      <c r="A696" s="385">
        <v>252004</v>
      </c>
      <c r="B696" s="386" t="s">
        <v>2698</v>
      </c>
      <c r="C696" s="386" t="s">
        <v>242</v>
      </c>
      <c r="D696" s="387">
        <v>143000</v>
      </c>
      <c r="G696" s="388"/>
    </row>
    <row r="697" spans="1:7" ht="27.6">
      <c r="A697" s="385">
        <v>252005</v>
      </c>
      <c r="B697" s="386" t="s">
        <v>2699</v>
      </c>
      <c r="C697" s="386" t="s">
        <v>242</v>
      </c>
      <c r="D697" s="387">
        <v>158000</v>
      </c>
      <c r="G697" s="388"/>
    </row>
    <row r="698" spans="1:7" ht="27.6">
      <c r="A698" s="385">
        <v>252006</v>
      </c>
      <c r="B698" s="386" t="s">
        <v>2700</v>
      </c>
      <c r="C698" s="386" t="s">
        <v>242</v>
      </c>
      <c r="D698" s="387">
        <v>185000</v>
      </c>
      <c r="G698" s="388"/>
    </row>
    <row r="699" spans="1:7" ht="27.6">
      <c r="A699" s="385">
        <v>252007</v>
      </c>
      <c r="B699" s="386" t="s">
        <v>2701</v>
      </c>
      <c r="C699" s="386" t="s">
        <v>242</v>
      </c>
      <c r="D699" s="387">
        <v>211000</v>
      </c>
      <c r="G699" s="388"/>
    </row>
    <row r="700" spans="1:7" ht="27.6">
      <c r="A700" s="385">
        <v>252008</v>
      </c>
      <c r="B700" s="386" t="s">
        <v>2702</v>
      </c>
      <c r="C700" s="386" t="s">
        <v>242</v>
      </c>
      <c r="D700" s="387">
        <v>236000</v>
      </c>
      <c r="G700" s="388"/>
    </row>
    <row r="701" spans="1:7" ht="15.6">
      <c r="A701" s="385">
        <v>252101</v>
      </c>
      <c r="B701" s="386" t="s">
        <v>2703</v>
      </c>
      <c r="C701" s="386" t="s">
        <v>15</v>
      </c>
      <c r="D701" s="387">
        <v>208000</v>
      </c>
      <c r="G701" s="388"/>
    </row>
    <row r="702" spans="1:7" ht="15.6">
      <c r="A702" s="385">
        <v>252102</v>
      </c>
      <c r="B702" s="386" t="s">
        <v>2704</v>
      </c>
      <c r="C702" s="386" t="s">
        <v>15</v>
      </c>
      <c r="D702" s="387">
        <v>256000</v>
      </c>
      <c r="G702" s="388"/>
    </row>
    <row r="703" spans="1:7" ht="15.6">
      <c r="A703" s="385">
        <v>252103</v>
      </c>
      <c r="B703" s="386" t="s">
        <v>2705</v>
      </c>
      <c r="C703" s="386" t="s">
        <v>15</v>
      </c>
      <c r="D703" s="387">
        <v>388000</v>
      </c>
      <c r="G703" s="388"/>
    </row>
    <row r="704" spans="1:7" ht="27.6">
      <c r="A704" s="385">
        <v>252201</v>
      </c>
      <c r="B704" s="386" t="s">
        <v>2706</v>
      </c>
      <c r="C704" s="386" t="s">
        <v>15</v>
      </c>
      <c r="D704" s="387">
        <v>50000</v>
      </c>
      <c r="G704" s="388"/>
    </row>
    <row r="705" spans="1:7" ht="27.6">
      <c r="A705" s="385">
        <v>252202</v>
      </c>
      <c r="B705" s="386" t="s">
        <v>2707</v>
      </c>
      <c r="C705" s="386" t="s">
        <v>15</v>
      </c>
      <c r="D705" s="387">
        <v>60000</v>
      </c>
      <c r="G705" s="388"/>
    </row>
    <row r="706" spans="1:7" ht="27.6">
      <c r="A706" s="385">
        <v>252203</v>
      </c>
      <c r="B706" s="386" t="s">
        <v>2708</v>
      </c>
      <c r="C706" s="386" t="s">
        <v>15</v>
      </c>
      <c r="D706" s="387">
        <v>70000</v>
      </c>
      <c r="G706" s="388"/>
    </row>
    <row r="707" spans="1:7" ht="15.6">
      <c r="A707" s="385">
        <v>270101</v>
      </c>
      <c r="B707" s="386" t="s">
        <v>2709</v>
      </c>
      <c r="C707" s="386" t="s">
        <v>206</v>
      </c>
      <c r="D707" s="387">
        <v>394466000</v>
      </c>
      <c r="G707" s="388"/>
    </row>
    <row r="708" spans="1:7" ht="15.6">
      <c r="A708" s="385">
        <v>270102</v>
      </c>
      <c r="B708" s="386" t="s">
        <v>2710</v>
      </c>
      <c r="C708" s="386" t="s">
        <v>206</v>
      </c>
      <c r="D708" s="387">
        <v>539204000</v>
      </c>
      <c r="G708" s="388"/>
    </row>
    <row r="709" spans="1:7" ht="15.6">
      <c r="A709" s="385">
        <v>270103</v>
      </c>
      <c r="B709" s="386" t="s">
        <v>2711</v>
      </c>
      <c r="C709" s="386" t="s">
        <v>206</v>
      </c>
      <c r="D709" s="387">
        <v>876527000</v>
      </c>
      <c r="G709" s="388"/>
    </row>
    <row r="710" spans="1:7" ht="15.6">
      <c r="A710" s="385">
        <v>270104</v>
      </c>
      <c r="B710" s="386" t="s">
        <v>2712</v>
      </c>
      <c r="C710" s="386" t="s">
        <v>206</v>
      </c>
      <c r="D710" s="387">
        <v>978527000</v>
      </c>
      <c r="G710" s="388"/>
    </row>
    <row r="711" spans="1:7" ht="15.6">
      <c r="A711" s="385">
        <v>270105</v>
      </c>
      <c r="B711" s="386" t="s">
        <v>2713</v>
      </c>
      <c r="C711" s="386" t="s">
        <v>206</v>
      </c>
      <c r="D711" s="387">
        <v>1096920000</v>
      </c>
      <c r="G711" s="388"/>
    </row>
    <row r="712" spans="1:7" ht="15.6">
      <c r="A712" s="385">
        <v>270106</v>
      </c>
      <c r="B712" s="386" t="s">
        <v>2714</v>
      </c>
      <c r="C712" s="386" t="s">
        <v>206</v>
      </c>
      <c r="D712" s="387">
        <v>1375394000</v>
      </c>
      <c r="G712" s="388"/>
    </row>
    <row r="713" spans="1:7" ht="15.6">
      <c r="A713" s="385">
        <v>270107</v>
      </c>
      <c r="B713" s="386" t="s">
        <v>2715</v>
      </c>
      <c r="C713" s="386" t="s">
        <v>206</v>
      </c>
      <c r="D713" s="387">
        <v>1428817000</v>
      </c>
      <c r="G713" s="388"/>
    </row>
    <row r="714" spans="1:7" ht="15.6">
      <c r="A714" s="385">
        <v>270108</v>
      </c>
      <c r="B714" s="386" t="s">
        <v>2716</v>
      </c>
      <c r="C714" s="386" t="s">
        <v>206</v>
      </c>
      <c r="D714" s="387">
        <v>1547620000</v>
      </c>
      <c r="G714" s="388"/>
    </row>
    <row r="715" spans="1:7" ht="15.6">
      <c r="A715" s="385">
        <v>270109</v>
      </c>
      <c r="B715" s="386" t="s">
        <v>2717</v>
      </c>
      <c r="C715" s="386" t="s">
        <v>206</v>
      </c>
      <c r="D715" s="387">
        <v>1728189000</v>
      </c>
      <c r="G715" s="388"/>
    </row>
    <row r="716" spans="1:7" ht="15.6">
      <c r="A716" s="385">
        <v>270110</v>
      </c>
      <c r="B716" s="386" t="s">
        <v>2718</v>
      </c>
      <c r="C716" s="386" t="s">
        <v>206</v>
      </c>
      <c r="D716" s="387">
        <v>1885124000</v>
      </c>
      <c r="G716" s="388"/>
    </row>
    <row r="717" spans="1:7" ht="15.6">
      <c r="A717" s="385">
        <v>270111</v>
      </c>
      <c r="B717" s="386" t="s">
        <v>2719</v>
      </c>
      <c r="C717" s="386" t="s">
        <v>206</v>
      </c>
      <c r="D717" s="387">
        <v>1923559000</v>
      </c>
      <c r="G717" s="388"/>
    </row>
    <row r="718" spans="1:7" ht="15.6">
      <c r="A718" s="385">
        <v>270112</v>
      </c>
      <c r="B718" s="386" t="s">
        <v>2720</v>
      </c>
      <c r="C718" s="386" t="s">
        <v>206</v>
      </c>
      <c r="D718" s="387">
        <v>2336448000</v>
      </c>
      <c r="G718" s="388"/>
    </row>
    <row r="719" spans="1:7" ht="15.6">
      <c r="A719" s="385">
        <v>270113</v>
      </c>
      <c r="B719" s="386" t="s">
        <v>2721</v>
      </c>
      <c r="C719" s="386" t="s">
        <v>206</v>
      </c>
      <c r="D719" s="387">
        <v>2476295000</v>
      </c>
      <c r="G719" s="388"/>
    </row>
    <row r="720" spans="1:7" ht="15.6">
      <c r="A720" s="385">
        <v>270114</v>
      </c>
      <c r="B720" s="386" t="s">
        <v>2722</v>
      </c>
      <c r="C720" s="386" t="s">
        <v>206</v>
      </c>
      <c r="D720" s="387"/>
      <c r="G720" s="388"/>
    </row>
    <row r="721" spans="1:7" ht="15.6">
      <c r="A721" s="385">
        <v>270201</v>
      </c>
      <c r="B721" s="386" t="s">
        <v>2723</v>
      </c>
      <c r="C721" s="386" t="s">
        <v>206</v>
      </c>
      <c r="D721" s="387">
        <v>404564000</v>
      </c>
      <c r="G721" s="388"/>
    </row>
    <row r="722" spans="1:7" ht="15.6">
      <c r="A722" s="385">
        <v>270202</v>
      </c>
      <c r="B722" s="386" t="s">
        <v>2724</v>
      </c>
      <c r="C722" s="386" t="s">
        <v>206</v>
      </c>
      <c r="D722" s="387">
        <v>645794000</v>
      </c>
      <c r="G722" s="388"/>
    </row>
    <row r="723" spans="1:7" ht="15.6">
      <c r="A723" s="385">
        <v>270203</v>
      </c>
      <c r="B723" s="386" t="s">
        <v>2725</v>
      </c>
      <c r="C723" s="386" t="s">
        <v>206</v>
      </c>
      <c r="D723" s="387">
        <v>790847000</v>
      </c>
      <c r="G723" s="388"/>
    </row>
    <row r="724" spans="1:7" ht="15.6">
      <c r="A724" s="385">
        <v>270204</v>
      </c>
      <c r="B724" s="386" t="s">
        <v>2726</v>
      </c>
      <c r="C724" s="386" t="s">
        <v>206</v>
      </c>
      <c r="D724" s="387">
        <v>857147000</v>
      </c>
      <c r="G724" s="388"/>
    </row>
    <row r="725" spans="1:7" ht="15.6">
      <c r="A725" s="385">
        <v>270205</v>
      </c>
      <c r="B725" s="386" t="s">
        <v>2727</v>
      </c>
      <c r="C725" s="386" t="s">
        <v>206</v>
      </c>
      <c r="D725" s="387">
        <v>987780000</v>
      </c>
      <c r="G725" s="388"/>
    </row>
    <row r="726" spans="1:7" ht="15.6">
      <c r="A726" s="385">
        <v>270206</v>
      </c>
      <c r="B726" s="386" t="s">
        <v>2728</v>
      </c>
      <c r="C726" s="386" t="s">
        <v>206</v>
      </c>
      <c r="D726" s="387">
        <v>1188741000</v>
      </c>
      <c r="G726" s="388"/>
    </row>
    <row r="727" spans="1:7" ht="15.6">
      <c r="A727" s="385">
        <v>270207</v>
      </c>
      <c r="B727" s="386" t="s">
        <v>2729</v>
      </c>
      <c r="C727" s="386" t="s">
        <v>206</v>
      </c>
      <c r="D727" s="387">
        <v>1321717000</v>
      </c>
      <c r="G727" s="388"/>
    </row>
    <row r="728" spans="1:7" ht="15.6">
      <c r="A728" s="385">
        <v>270208</v>
      </c>
      <c r="B728" s="386" t="s">
        <v>2730</v>
      </c>
      <c r="C728" s="386" t="s">
        <v>206</v>
      </c>
      <c r="D728" s="387">
        <v>1542520000</v>
      </c>
      <c r="G728" s="388"/>
    </row>
    <row r="729" spans="1:7" ht="15.6">
      <c r="A729" s="385">
        <v>270209</v>
      </c>
      <c r="B729" s="386" t="s">
        <v>2731</v>
      </c>
      <c r="C729" s="386" t="s">
        <v>206</v>
      </c>
      <c r="D729" s="387">
        <v>1608849000</v>
      </c>
      <c r="G729" s="388"/>
    </row>
    <row r="730" spans="1:7" ht="15.6">
      <c r="A730" s="385">
        <v>270210</v>
      </c>
      <c r="B730" s="386" t="s">
        <v>2732</v>
      </c>
      <c r="C730" s="386" t="s">
        <v>206</v>
      </c>
      <c r="D730" s="387">
        <v>1729064000</v>
      </c>
      <c r="G730" s="388"/>
    </row>
    <row r="731" spans="1:7" ht="15.6">
      <c r="A731" s="385">
        <v>270211</v>
      </c>
      <c r="B731" s="386" t="s">
        <v>2733</v>
      </c>
      <c r="C731" s="386" t="s">
        <v>206</v>
      </c>
      <c r="D731" s="387">
        <v>1820539000</v>
      </c>
      <c r="G731" s="388"/>
    </row>
    <row r="732" spans="1:7" ht="15.6">
      <c r="A732" s="385">
        <v>270212</v>
      </c>
      <c r="B732" s="386" t="s">
        <v>2734</v>
      </c>
      <c r="C732" s="386" t="s">
        <v>206</v>
      </c>
      <c r="D732" s="387">
        <v>1982508000</v>
      </c>
      <c r="G732" s="388"/>
    </row>
    <row r="733" spans="1:7" ht="15.6">
      <c r="A733" s="385">
        <v>270213</v>
      </c>
      <c r="B733" s="386" t="s">
        <v>2735</v>
      </c>
      <c r="C733" s="386" t="s">
        <v>206</v>
      </c>
      <c r="D733" s="387"/>
      <c r="G733" s="388"/>
    </row>
    <row r="734" spans="1:7" ht="15.6">
      <c r="A734" s="385">
        <v>270214</v>
      </c>
      <c r="B734" s="386" t="s">
        <v>2736</v>
      </c>
      <c r="C734" s="386" t="s">
        <v>206</v>
      </c>
      <c r="D734" s="387"/>
      <c r="G734" s="388"/>
    </row>
    <row r="735" spans="1:7" ht="15.6">
      <c r="A735" s="385">
        <v>270301</v>
      </c>
      <c r="B735" s="386" t="s">
        <v>2737</v>
      </c>
      <c r="C735" s="386" t="s">
        <v>206</v>
      </c>
      <c r="D735" s="387">
        <v>112950000</v>
      </c>
      <c r="G735" s="388"/>
    </row>
    <row r="736" spans="1:7" ht="15.6">
      <c r="A736" s="385">
        <v>270302</v>
      </c>
      <c r="B736" s="386" t="s">
        <v>2738</v>
      </c>
      <c r="C736" s="386" t="s">
        <v>206</v>
      </c>
      <c r="D736" s="387">
        <v>129270000</v>
      </c>
      <c r="G736" s="388"/>
    </row>
    <row r="737" spans="1:7" ht="15.6">
      <c r="A737" s="385">
        <v>270303</v>
      </c>
      <c r="B737" s="386" t="s">
        <v>2739</v>
      </c>
      <c r="C737" s="386" t="s">
        <v>206</v>
      </c>
      <c r="D737" s="387">
        <v>149039000</v>
      </c>
      <c r="G737" s="388"/>
    </row>
    <row r="738" spans="1:7" ht="15.6">
      <c r="A738" s="385">
        <v>270304</v>
      </c>
      <c r="B738" s="386" t="s">
        <v>2740</v>
      </c>
      <c r="C738" s="386" t="s">
        <v>206</v>
      </c>
      <c r="D738" s="387">
        <v>197245000</v>
      </c>
      <c r="G738" s="388"/>
    </row>
    <row r="739" spans="1:7" ht="15.6">
      <c r="A739" s="385">
        <v>270305</v>
      </c>
      <c r="B739" s="386" t="s">
        <v>2741</v>
      </c>
      <c r="C739" s="386" t="s">
        <v>206</v>
      </c>
      <c r="D739" s="387">
        <v>235318000</v>
      </c>
      <c r="G739" s="388"/>
    </row>
    <row r="740" spans="1:7" ht="15.6">
      <c r="A740" s="385">
        <v>270306</v>
      </c>
      <c r="B740" s="386" t="s">
        <v>2742</v>
      </c>
      <c r="C740" s="386" t="s">
        <v>206</v>
      </c>
      <c r="D740" s="387">
        <v>300628000</v>
      </c>
      <c r="G740" s="388"/>
    </row>
    <row r="741" spans="1:7" ht="15.6">
      <c r="A741" s="385">
        <v>270307</v>
      </c>
      <c r="B741" s="386" t="s">
        <v>2743</v>
      </c>
      <c r="C741" s="386" t="s">
        <v>206</v>
      </c>
      <c r="D741" s="387">
        <v>384781000</v>
      </c>
      <c r="G741" s="388"/>
    </row>
    <row r="742" spans="1:7" ht="15.6">
      <c r="A742" s="385">
        <v>270308</v>
      </c>
      <c r="B742" s="386" t="s">
        <v>2744</v>
      </c>
      <c r="C742" s="386" t="s">
        <v>206</v>
      </c>
      <c r="D742" s="387">
        <v>418613000</v>
      </c>
      <c r="G742" s="388"/>
    </row>
    <row r="743" spans="1:7" ht="15.6">
      <c r="A743" s="385">
        <v>270309</v>
      </c>
      <c r="B743" s="386" t="s">
        <v>2745</v>
      </c>
      <c r="C743" s="386" t="s">
        <v>206</v>
      </c>
      <c r="D743" s="387">
        <v>532853000</v>
      </c>
      <c r="G743" s="388"/>
    </row>
    <row r="744" spans="1:7" ht="15.6">
      <c r="A744" s="385">
        <v>270310</v>
      </c>
      <c r="B744" s="386" t="s">
        <v>2746</v>
      </c>
      <c r="C744" s="386" t="s">
        <v>206</v>
      </c>
      <c r="D744" s="387">
        <v>584743000</v>
      </c>
      <c r="G744" s="388"/>
    </row>
    <row r="745" spans="1:7" ht="15.6">
      <c r="A745" s="385">
        <v>270401</v>
      </c>
      <c r="B745" s="386" t="s">
        <v>2747</v>
      </c>
      <c r="C745" s="386" t="s">
        <v>206</v>
      </c>
      <c r="D745" s="387"/>
      <c r="G745" s="388"/>
    </row>
    <row r="746" spans="1:7" ht="15.6">
      <c r="A746" s="385">
        <v>270402</v>
      </c>
      <c r="B746" s="386" t="s">
        <v>2748</v>
      </c>
      <c r="C746" s="386" t="s">
        <v>206</v>
      </c>
      <c r="D746" s="387"/>
      <c r="G746" s="388"/>
    </row>
    <row r="747" spans="1:7" ht="15.6">
      <c r="A747" s="385">
        <v>270403</v>
      </c>
      <c r="B747" s="386" t="s">
        <v>2749</v>
      </c>
      <c r="C747" s="386" t="s">
        <v>206</v>
      </c>
      <c r="D747" s="387"/>
      <c r="G747" s="388"/>
    </row>
    <row r="748" spans="1:7" ht="15.6">
      <c r="A748" s="385">
        <v>270404</v>
      </c>
      <c r="B748" s="386" t="s">
        <v>2750</v>
      </c>
      <c r="C748" s="386" t="s">
        <v>206</v>
      </c>
      <c r="D748" s="387"/>
      <c r="G748" s="388"/>
    </row>
    <row r="749" spans="1:7" ht="15.6">
      <c r="A749" s="385">
        <v>270405</v>
      </c>
      <c r="B749" s="386" t="s">
        <v>2751</v>
      </c>
      <c r="C749" s="386" t="s">
        <v>206</v>
      </c>
      <c r="D749" s="387"/>
      <c r="G749" s="388"/>
    </row>
    <row r="750" spans="1:7" ht="15.6">
      <c r="A750" s="385">
        <v>270406</v>
      </c>
      <c r="B750" s="386" t="s">
        <v>2752</v>
      </c>
      <c r="C750" s="386" t="s">
        <v>206</v>
      </c>
      <c r="D750" s="387"/>
      <c r="G750" s="388"/>
    </row>
    <row r="751" spans="1:7" ht="15.6">
      <c r="A751" s="385">
        <v>270407</v>
      </c>
      <c r="B751" s="386" t="s">
        <v>2753</v>
      </c>
      <c r="C751" s="386" t="s">
        <v>206</v>
      </c>
      <c r="D751" s="387"/>
      <c r="G751" s="388"/>
    </row>
    <row r="752" spans="1:7" ht="15.6">
      <c r="A752" s="385">
        <v>270408</v>
      </c>
      <c r="B752" s="386" t="s">
        <v>2754</v>
      </c>
      <c r="C752" s="386" t="s">
        <v>206</v>
      </c>
      <c r="D752" s="387"/>
      <c r="G752" s="388"/>
    </row>
    <row r="753" spans="1:7" ht="15.6">
      <c r="A753" s="385">
        <v>270409</v>
      </c>
      <c r="B753" s="386" t="s">
        <v>2755</v>
      </c>
      <c r="C753" s="386" t="s">
        <v>206</v>
      </c>
      <c r="D753" s="387"/>
      <c r="G753" s="388"/>
    </row>
    <row r="754" spans="1:7" ht="15.6">
      <c r="A754" s="385">
        <v>270410</v>
      </c>
      <c r="B754" s="386" t="s">
        <v>2756</v>
      </c>
      <c r="C754" s="386" t="s">
        <v>206</v>
      </c>
      <c r="D754" s="387"/>
      <c r="G754" s="388"/>
    </row>
    <row r="755" spans="1:7" ht="15.6">
      <c r="A755" s="385">
        <v>270411</v>
      </c>
      <c r="B755" s="386" t="s">
        <v>2757</v>
      </c>
      <c r="C755" s="386" t="s">
        <v>206</v>
      </c>
      <c r="D755" s="387"/>
      <c r="G755" s="388"/>
    </row>
    <row r="756" spans="1:7" ht="15.6">
      <c r="A756" s="385">
        <v>270412</v>
      </c>
      <c r="B756" s="386" t="s">
        <v>2758</v>
      </c>
      <c r="C756" s="386" t="s">
        <v>206</v>
      </c>
      <c r="D756" s="387"/>
      <c r="G756" s="388"/>
    </row>
    <row r="757" spans="1:7" ht="15.6">
      <c r="A757" s="385">
        <v>270413</v>
      </c>
      <c r="B757" s="386" t="s">
        <v>2759</v>
      </c>
      <c r="C757" s="386" t="s">
        <v>206</v>
      </c>
      <c r="D757" s="387"/>
      <c r="G757" s="388"/>
    </row>
    <row r="758" spans="1:7" ht="15.6">
      <c r="A758" s="385">
        <v>270414</v>
      </c>
      <c r="B758" s="386" t="s">
        <v>2760</v>
      </c>
      <c r="C758" s="386" t="s">
        <v>206</v>
      </c>
      <c r="D758" s="387"/>
      <c r="G758" s="388"/>
    </row>
    <row r="759" spans="1:7" ht="15.6">
      <c r="A759" s="385">
        <v>270415</v>
      </c>
      <c r="B759" s="386" t="s">
        <v>2761</v>
      </c>
      <c r="C759" s="386" t="s">
        <v>206</v>
      </c>
      <c r="D759" s="387"/>
      <c r="G759" s="388"/>
    </row>
    <row r="760" spans="1:7" ht="15.6">
      <c r="A760" s="385">
        <v>270501</v>
      </c>
      <c r="B760" s="386" t="s">
        <v>2762</v>
      </c>
      <c r="C760" s="386" t="s">
        <v>206</v>
      </c>
      <c r="D760" s="387"/>
      <c r="G760" s="388"/>
    </row>
    <row r="761" spans="1:7" ht="15.6">
      <c r="A761" s="385">
        <v>270502</v>
      </c>
      <c r="B761" s="386" t="s">
        <v>2763</v>
      </c>
      <c r="C761" s="386" t="s">
        <v>206</v>
      </c>
      <c r="D761" s="387"/>
      <c r="G761" s="388"/>
    </row>
    <row r="762" spans="1:7" ht="15.6">
      <c r="A762" s="385">
        <v>270503</v>
      </c>
      <c r="B762" s="386" t="s">
        <v>2764</v>
      </c>
      <c r="C762" s="386" t="s">
        <v>206</v>
      </c>
      <c r="D762" s="387"/>
      <c r="G762" s="388"/>
    </row>
    <row r="763" spans="1:7" ht="15.6">
      <c r="A763" s="385">
        <v>270504</v>
      </c>
      <c r="B763" s="386" t="s">
        <v>2765</v>
      </c>
      <c r="C763" s="386" t="s">
        <v>206</v>
      </c>
      <c r="D763" s="387"/>
      <c r="G763" s="388"/>
    </row>
    <row r="764" spans="1:7" ht="15.6">
      <c r="A764" s="385">
        <v>270505</v>
      </c>
      <c r="B764" s="386" t="s">
        <v>2766</v>
      </c>
      <c r="C764" s="386" t="s">
        <v>206</v>
      </c>
      <c r="D764" s="387"/>
      <c r="G764" s="388"/>
    </row>
    <row r="765" spans="1:7" ht="15.6">
      <c r="A765" s="385">
        <v>270506</v>
      </c>
      <c r="B765" s="386" t="s">
        <v>2767</v>
      </c>
      <c r="C765" s="386" t="s">
        <v>206</v>
      </c>
      <c r="D765" s="387"/>
      <c r="G765" s="388"/>
    </row>
    <row r="766" spans="1:7" ht="15.6">
      <c r="A766" s="385">
        <v>270507</v>
      </c>
      <c r="B766" s="386" t="s">
        <v>2768</v>
      </c>
      <c r="C766" s="386" t="s">
        <v>206</v>
      </c>
      <c r="D766" s="387"/>
      <c r="G766" s="388"/>
    </row>
    <row r="767" spans="1:7" ht="15.6">
      <c r="A767" s="385">
        <v>270508</v>
      </c>
      <c r="B767" s="386" t="s">
        <v>2769</v>
      </c>
      <c r="C767" s="386" t="s">
        <v>206</v>
      </c>
      <c r="D767" s="387"/>
      <c r="G767" s="388"/>
    </row>
    <row r="768" spans="1:7" ht="15.6">
      <c r="A768" s="385">
        <v>270509</v>
      </c>
      <c r="B768" s="386" t="s">
        <v>2770</v>
      </c>
      <c r="C768" s="386" t="s">
        <v>206</v>
      </c>
      <c r="D768" s="387"/>
      <c r="G768" s="388"/>
    </row>
    <row r="769" spans="1:7" ht="15.6">
      <c r="A769" s="385">
        <v>270510</v>
      </c>
      <c r="B769" s="386" t="s">
        <v>2771</v>
      </c>
      <c r="C769" s="386" t="s">
        <v>206</v>
      </c>
      <c r="D769" s="387"/>
      <c r="G769" s="388"/>
    </row>
    <row r="770" spans="1:7" ht="15.6">
      <c r="A770" s="385">
        <v>270511</v>
      </c>
      <c r="B770" s="386" t="s">
        <v>2772</v>
      </c>
      <c r="C770" s="386" t="s">
        <v>206</v>
      </c>
      <c r="D770" s="387"/>
      <c r="G770" s="388"/>
    </row>
    <row r="771" spans="1:7" ht="15.6">
      <c r="A771" s="385">
        <v>270512</v>
      </c>
      <c r="B771" s="386" t="s">
        <v>2773</v>
      </c>
      <c r="C771" s="386" t="s">
        <v>206</v>
      </c>
      <c r="D771" s="387"/>
      <c r="G771" s="388"/>
    </row>
    <row r="772" spans="1:7" ht="15.6">
      <c r="A772" s="385">
        <v>270513</v>
      </c>
      <c r="B772" s="386" t="s">
        <v>2774</v>
      </c>
      <c r="C772" s="386" t="s">
        <v>206</v>
      </c>
      <c r="D772" s="387"/>
      <c r="G772" s="388"/>
    </row>
    <row r="773" spans="1:7" ht="15.6">
      <c r="A773" s="385">
        <v>270514</v>
      </c>
      <c r="B773" s="386" t="s">
        <v>2775</v>
      </c>
      <c r="C773" s="386" t="s">
        <v>206</v>
      </c>
      <c r="D773" s="387"/>
      <c r="G773" s="388"/>
    </row>
    <row r="774" spans="1:7" ht="15.6">
      <c r="A774" s="385">
        <v>270515</v>
      </c>
      <c r="B774" s="386" t="s">
        <v>2776</v>
      </c>
      <c r="C774" s="386" t="s">
        <v>206</v>
      </c>
      <c r="D774" s="387"/>
      <c r="G774" s="388"/>
    </row>
    <row r="775" spans="1:7" ht="15.6">
      <c r="A775" s="385">
        <v>270601</v>
      </c>
      <c r="B775" s="386" t="s">
        <v>2777</v>
      </c>
      <c r="C775" s="386" t="s">
        <v>206</v>
      </c>
      <c r="D775" s="387"/>
      <c r="G775" s="388"/>
    </row>
    <row r="776" spans="1:7" ht="15.6">
      <c r="A776" s="385">
        <v>270602</v>
      </c>
      <c r="B776" s="386" t="s">
        <v>2778</v>
      </c>
      <c r="C776" s="386" t="s">
        <v>206</v>
      </c>
      <c r="D776" s="387"/>
      <c r="G776" s="388"/>
    </row>
    <row r="777" spans="1:7" ht="15.6">
      <c r="A777" s="385">
        <v>270603</v>
      </c>
      <c r="B777" s="386" t="s">
        <v>2779</v>
      </c>
      <c r="C777" s="386" t="s">
        <v>206</v>
      </c>
      <c r="D777" s="387"/>
      <c r="G777" s="388"/>
    </row>
    <row r="778" spans="1:7" ht="15.6">
      <c r="A778" s="385">
        <v>270604</v>
      </c>
      <c r="B778" s="386" t="s">
        <v>2780</v>
      </c>
      <c r="C778" s="386" t="s">
        <v>206</v>
      </c>
      <c r="D778" s="387"/>
      <c r="G778" s="388"/>
    </row>
    <row r="779" spans="1:7" ht="15.6">
      <c r="A779" s="385">
        <v>270605</v>
      </c>
      <c r="B779" s="386" t="s">
        <v>2781</v>
      </c>
      <c r="C779" s="386" t="s">
        <v>206</v>
      </c>
      <c r="D779" s="387"/>
      <c r="G779" s="388"/>
    </row>
    <row r="780" spans="1:7" ht="15.6">
      <c r="A780" s="385">
        <v>270606</v>
      </c>
      <c r="B780" s="386" t="s">
        <v>2782</v>
      </c>
      <c r="C780" s="386" t="s">
        <v>206</v>
      </c>
      <c r="D780" s="387"/>
      <c r="G780" s="388"/>
    </row>
    <row r="781" spans="1:7" ht="15.6">
      <c r="A781" s="385">
        <v>270607</v>
      </c>
      <c r="B781" s="386" t="s">
        <v>2783</v>
      </c>
      <c r="C781" s="386" t="s">
        <v>206</v>
      </c>
      <c r="D781" s="387"/>
      <c r="G781" s="388"/>
    </row>
    <row r="782" spans="1:7" ht="15.6">
      <c r="A782" s="385">
        <v>270608</v>
      </c>
      <c r="B782" s="386" t="s">
        <v>2784</v>
      </c>
      <c r="C782" s="386" t="s">
        <v>206</v>
      </c>
      <c r="D782" s="387"/>
      <c r="G782" s="388"/>
    </row>
    <row r="783" spans="1:7" ht="15.6">
      <c r="A783" s="385">
        <v>270609</v>
      </c>
      <c r="B783" s="386" t="s">
        <v>2785</v>
      </c>
      <c r="C783" s="386" t="s">
        <v>206</v>
      </c>
      <c r="D783" s="387"/>
      <c r="G783" s="388"/>
    </row>
    <row r="784" spans="1:7" ht="15.6">
      <c r="A784" s="385">
        <v>270610</v>
      </c>
      <c r="B784" s="386" t="s">
        <v>2786</v>
      </c>
      <c r="C784" s="386" t="s">
        <v>206</v>
      </c>
      <c r="D784" s="387"/>
      <c r="G784" s="388"/>
    </row>
    <row r="785" spans="1:7" ht="15.6">
      <c r="A785" s="385">
        <v>270611</v>
      </c>
      <c r="B785" s="386" t="s">
        <v>2787</v>
      </c>
      <c r="C785" s="386" t="s">
        <v>206</v>
      </c>
      <c r="D785" s="387"/>
      <c r="G785" s="388"/>
    </row>
    <row r="786" spans="1:7" ht="15.6">
      <c r="A786" s="385">
        <v>270612</v>
      </c>
      <c r="B786" s="386" t="s">
        <v>2788</v>
      </c>
      <c r="C786" s="386" t="s">
        <v>206</v>
      </c>
      <c r="D786" s="387"/>
      <c r="G786" s="388"/>
    </row>
    <row r="787" spans="1:7" ht="15.6">
      <c r="A787" s="385">
        <v>270613</v>
      </c>
      <c r="B787" s="386" t="s">
        <v>2789</v>
      </c>
      <c r="C787" s="386" t="s">
        <v>206</v>
      </c>
      <c r="D787" s="387"/>
      <c r="G787" s="388"/>
    </row>
    <row r="788" spans="1:7" ht="15.6">
      <c r="A788" s="385">
        <v>270614</v>
      </c>
      <c r="B788" s="386" t="s">
        <v>2790</v>
      </c>
      <c r="C788" s="386" t="s">
        <v>206</v>
      </c>
      <c r="D788" s="387"/>
      <c r="G788" s="388"/>
    </row>
    <row r="789" spans="1:7" ht="15.6">
      <c r="A789" s="385">
        <v>270615</v>
      </c>
      <c r="B789" s="386" t="s">
        <v>2791</v>
      </c>
      <c r="C789" s="386" t="s">
        <v>206</v>
      </c>
      <c r="D789" s="387"/>
      <c r="G789" s="388"/>
    </row>
    <row r="790" spans="1:7" ht="15.6">
      <c r="A790" s="385">
        <v>270701</v>
      </c>
      <c r="B790" s="386" t="s">
        <v>2792</v>
      </c>
      <c r="C790" s="386" t="s">
        <v>206</v>
      </c>
      <c r="D790" s="387"/>
      <c r="G790" s="388"/>
    </row>
    <row r="791" spans="1:7" ht="15.6">
      <c r="A791" s="385">
        <v>270702</v>
      </c>
      <c r="B791" s="386" t="s">
        <v>2793</v>
      </c>
      <c r="C791" s="386" t="s">
        <v>206</v>
      </c>
      <c r="D791" s="387"/>
      <c r="G791" s="388"/>
    </row>
    <row r="792" spans="1:7" ht="15.6">
      <c r="A792" s="385">
        <v>270703</v>
      </c>
      <c r="B792" s="386" t="s">
        <v>2794</v>
      </c>
      <c r="C792" s="386" t="s">
        <v>206</v>
      </c>
      <c r="D792" s="387"/>
      <c r="G792" s="388"/>
    </row>
    <row r="793" spans="1:7" ht="15.6">
      <c r="A793" s="385">
        <v>270704</v>
      </c>
      <c r="B793" s="386" t="s">
        <v>2795</v>
      </c>
      <c r="C793" s="386" t="s">
        <v>206</v>
      </c>
      <c r="D793" s="387"/>
      <c r="G793" s="388"/>
    </row>
    <row r="794" spans="1:7" ht="15.6">
      <c r="A794" s="385">
        <v>270705</v>
      </c>
      <c r="B794" s="386" t="s">
        <v>2796</v>
      </c>
      <c r="C794" s="386" t="s">
        <v>206</v>
      </c>
      <c r="D794" s="387"/>
      <c r="G794" s="388"/>
    </row>
    <row r="795" spans="1:7" ht="15.6">
      <c r="A795" s="385">
        <v>270706</v>
      </c>
      <c r="B795" s="386" t="s">
        <v>2797</v>
      </c>
      <c r="C795" s="386" t="s">
        <v>206</v>
      </c>
      <c r="D795" s="387"/>
      <c r="G795" s="388"/>
    </row>
    <row r="796" spans="1:7" ht="15.6">
      <c r="A796" s="385">
        <v>270707</v>
      </c>
      <c r="B796" s="386" t="s">
        <v>2798</v>
      </c>
      <c r="C796" s="386" t="s">
        <v>206</v>
      </c>
      <c r="D796" s="387"/>
      <c r="G796" s="388"/>
    </row>
    <row r="797" spans="1:7" ht="15.6">
      <c r="A797" s="385">
        <v>270708</v>
      </c>
      <c r="B797" s="386" t="s">
        <v>2799</v>
      </c>
      <c r="C797" s="386" t="s">
        <v>206</v>
      </c>
      <c r="D797" s="387"/>
      <c r="G797" s="388"/>
    </row>
    <row r="798" spans="1:7" ht="15.6">
      <c r="A798" s="385">
        <v>270709</v>
      </c>
      <c r="B798" s="386" t="s">
        <v>2800</v>
      </c>
      <c r="C798" s="386" t="s">
        <v>206</v>
      </c>
      <c r="D798" s="387"/>
      <c r="G798" s="388"/>
    </row>
    <row r="799" spans="1:7" ht="15.6">
      <c r="A799" s="385">
        <v>270710</v>
      </c>
      <c r="B799" s="386" t="s">
        <v>2801</v>
      </c>
      <c r="C799" s="386" t="s">
        <v>206</v>
      </c>
      <c r="D799" s="387"/>
      <c r="G799" s="388"/>
    </row>
    <row r="800" spans="1:7" ht="15.6">
      <c r="A800" s="385">
        <v>270711</v>
      </c>
      <c r="B800" s="386" t="s">
        <v>2802</v>
      </c>
      <c r="C800" s="386" t="s">
        <v>206</v>
      </c>
      <c r="D800" s="387"/>
      <c r="G800" s="388"/>
    </row>
    <row r="801" spans="1:7" ht="15.6">
      <c r="A801" s="385">
        <v>270712</v>
      </c>
      <c r="B801" s="386" t="s">
        <v>2803</v>
      </c>
      <c r="C801" s="386" t="s">
        <v>206</v>
      </c>
      <c r="D801" s="387"/>
      <c r="G801" s="388"/>
    </row>
    <row r="802" spans="1:7" ht="15.6">
      <c r="A802" s="385">
        <v>270713</v>
      </c>
      <c r="B802" s="386" t="s">
        <v>2804</v>
      </c>
      <c r="C802" s="386" t="s">
        <v>206</v>
      </c>
      <c r="D802" s="387"/>
      <c r="G802" s="388"/>
    </row>
    <row r="803" spans="1:7" ht="15.6">
      <c r="A803" s="385">
        <v>270714</v>
      </c>
      <c r="B803" s="386" t="s">
        <v>2805</v>
      </c>
      <c r="C803" s="386" t="s">
        <v>206</v>
      </c>
      <c r="D803" s="387"/>
      <c r="G803" s="388"/>
    </row>
    <row r="804" spans="1:7" ht="15.6">
      <c r="A804" s="385">
        <v>270715</v>
      </c>
      <c r="B804" s="386" t="s">
        <v>2806</v>
      </c>
      <c r="C804" s="386" t="s">
        <v>206</v>
      </c>
      <c r="D804" s="387"/>
      <c r="G804" s="388"/>
    </row>
    <row r="805" spans="1:7" ht="27.6">
      <c r="A805" s="385">
        <v>280101</v>
      </c>
      <c r="B805" s="386" t="s">
        <v>2807</v>
      </c>
      <c r="C805" s="386" t="s">
        <v>206</v>
      </c>
      <c r="D805" s="387">
        <v>113749000</v>
      </c>
      <c r="G805" s="388"/>
    </row>
    <row r="806" spans="1:7" ht="27.6">
      <c r="A806" s="385">
        <v>280102</v>
      </c>
      <c r="B806" s="386" t="s">
        <v>2808</v>
      </c>
      <c r="C806" s="386" t="s">
        <v>206</v>
      </c>
      <c r="D806" s="387">
        <v>175718000</v>
      </c>
      <c r="G806" s="388"/>
    </row>
    <row r="807" spans="1:7" ht="27.6">
      <c r="A807" s="385">
        <v>280103</v>
      </c>
      <c r="B807" s="386" t="s">
        <v>2809</v>
      </c>
      <c r="C807" s="386" t="s">
        <v>206</v>
      </c>
      <c r="D807" s="387">
        <v>221443000</v>
      </c>
      <c r="G807" s="388"/>
    </row>
    <row r="808" spans="1:7" ht="27.6">
      <c r="A808" s="385">
        <v>280104</v>
      </c>
      <c r="B808" s="386" t="s">
        <v>2810</v>
      </c>
      <c r="C808" s="386" t="s">
        <v>206</v>
      </c>
      <c r="D808" s="387">
        <v>232183000</v>
      </c>
      <c r="G808" s="388"/>
    </row>
    <row r="809" spans="1:7" ht="27.6">
      <c r="A809" s="385">
        <v>280105</v>
      </c>
      <c r="B809" s="386" t="s">
        <v>2811</v>
      </c>
      <c r="C809" s="386" t="s">
        <v>206</v>
      </c>
      <c r="D809" s="387">
        <v>322367000</v>
      </c>
      <c r="G809" s="388"/>
    </row>
    <row r="810" spans="1:7" ht="27.6">
      <c r="A810" s="385">
        <v>280106</v>
      </c>
      <c r="B810" s="386" t="s">
        <v>2812</v>
      </c>
      <c r="C810" s="386" t="s">
        <v>206</v>
      </c>
      <c r="D810" s="387">
        <v>383798000</v>
      </c>
      <c r="G810" s="388"/>
    </row>
    <row r="811" spans="1:7" ht="27.6">
      <c r="A811" s="385">
        <v>280201</v>
      </c>
      <c r="B811" s="386" t="s">
        <v>2813</v>
      </c>
      <c r="C811" s="386" t="s">
        <v>206</v>
      </c>
      <c r="D811" s="387">
        <v>336670000</v>
      </c>
      <c r="G811" s="388"/>
    </row>
    <row r="812" spans="1:7" ht="27.6">
      <c r="A812" s="385">
        <v>280202</v>
      </c>
      <c r="B812" s="386" t="s">
        <v>2814</v>
      </c>
      <c r="C812" s="386" t="s">
        <v>206</v>
      </c>
      <c r="D812" s="387">
        <v>461224000</v>
      </c>
      <c r="G812" s="388"/>
    </row>
    <row r="813" spans="1:7" ht="27.6">
      <c r="A813" s="385">
        <v>280203</v>
      </c>
      <c r="B813" s="386" t="s">
        <v>2815</v>
      </c>
      <c r="C813" s="386" t="s">
        <v>206</v>
      </c>
      <c r="D813" s="387">
        <v>741387000</v>
      </c>
      <c r="G813" s="388"/>
    </row>
    <row r="814" spans="1:7" ht="27.6">
      <c r="A814" s="385">
        <v>280204</v>
      </c>
      <c r="B814" s="386" t="s">
        <v>2816</v>
      </c>
      <c r="C814" s="386" t="s">
        <v>206</v>
      </c>
      <c r="D814" s="387">
        <v>831755000</v>
      </c>
      <c r="G814" s="388"/>
    </row>
    <row r="815" spans="1:7" ht="27.6">
      <c r="A815" s="385">
        <v>280205</v>
      </c>
      <c r="B815" s="386" t="s">
        <v>2817</v>
      </c>
      <c r="C815" s="386" t="s">
        <v>206</v>
      </c>
      <c r="D815" s="387">
        <v>1068033000</v>
      </c>
      <c r="G815" s="388"/>
    </row>
    <row r="816" spans="1:7" ht="27.6">
      <c r="A816" s="385">
        <v>280301</v>
      </c>
      <c r="B816" s="386" t="s">
        <v>2818</v>
      </c>
      <c r="C816" s="386" t="s">
        <v>206</v>
      </c>
      <c r="D816" s="387"/>
      <c r="G816" s="388"/>
    </row>
    <row r="817" spans="1:7" ht="27.6">
      <c r="A817" s="385">
        <v>280302</v>
      </c>
      <c r="B817" s="386" t="s">
        <v>2819</v>
      </c>
      <c r="C817" s="386" t="s">
        <v>206</v>
      </c>
      <c r="D817" s="387"/>
      <c r="G817" s="388"/>
    </row>
    <row r="818" spans="1:7" ht="27.6">
      <c r="A818" s="385">
        <v>280303</v>
      </c>
      <c r="B818" s="386" t="s">
        <v>2820</v>
      </c>
      <c r="C818" s="386" t="s">
        <v>206</v>
      </c>
      <c r="D818" s="387"/>
      <c r="G818" s="388"/>
    </row>
    <row r="819" spans="1:7" ht="27.6">
      <c r="A819" s="385">
        <v>280304</v>
      </c>
      <c r="B819" s="386" t="s">
        <v>2821</v>
      </c>
      <c r="C819" s="386" t="s">
        <v>206</v>
      </c>
      <c r="D819" s="387"/>
      <c r="G819" s="388"/>
    </row>
    <row r="820" spans="1:7" ht="27.6">
      <c r="A820" s="385">
        <v>280305</v>
      </c>
      <c r="B820" s="386" t="s">
        <v>2822</v>
      </c>
      <c r="C820" s="386" t="s">
        <v>206</v>
      </c>
      <c r="D820" s="387"/>
      <c r="G820" s="388"/>
    </row>
    <row r="821" spans="1:7" ht="27.6">
      <c r="A821" s="385">
        <v>280306</v>
      </c>
      <c r="B821" s="386" t="s">
        <v>2823</v>
      </c>
      <c r="C821" s="386" t="s">
        <v>206</v>
      </c>
      <c r="D821" s="387"/>
      <c r="G821" s="388"/>
    </row>
    <row r="822" spans="1:7" ht="27.6">
      <c r="A822" s="385">
        <v>280307</v>
      </c>
      <c r="B822" s="386" t="s">
        <v>2824</v>
      </c>
      <c r="C822" s="386" t="s">
        <v>206</v>
      </c>
      <c r="D822" s="387"/>
      <c r="G822" s="388"/>
    </row>
    <row r="823" spans="1:7" ht="27.6">
      <c r="A823" s="385">
        <v>280308</v>
      </c>
      <c r="B823" s="386" t="s">
        <v>2825</v>
      </c>
      <c r="C823" s="386" t="s">
        <v>206</v>
      </c>
      <c r="D823" s="387"/>
      <c r="G823" s="388"/>
    </row>
    <row r="824" spans="1:7" ht="27.6">
      <c r="A824" s="385">
        <v>280309</v>
      </c>
      <c r="B824" s="386" t="s">
        <v>2826</v>
      </c>
      <c r="C824" s="386" t="s">
        <v>206</v>
      </c>
      <c r="D824" s="387"/>
      <c r="G824" s="388"/>
    </row>
    <row r="825" spans="1:7" ht="27.6">
      <c r="A825" s="385">
        <v>280310</v>
      </c>
      <c r="B825" s="386" t="s">
        <v>2827</v>
      </c>
      <c r="C825" s="386" t="s">
        <v>206</v>
      </c>
      <c r="D825" s="387"/>
      <c r="G825" s="388"/>
    </row>
    <row r="826" spans="1:7" ht="15.6">
      <c r="A826" s="385">
        <v>290101</v>
      </c>
      <c r="B826" s="386" t="s">
        <v>2828</v>
      </c>
      <c r="C826" s="386" t="s">
        <v>206</v>
      </c>
      <c r="D826" s="387">
        <v>825500</v>
      </c>
      <c r="G826" s="388"/>
    </row>
    <row r="827" spans="1:7" ht="15.6">
      <c r="A827" s="385">
        <v>290102</v>
      </c>
      <c r="B827" s="386" t="s">
        <v>2829</v>
      </c>
      <c r="C827" s="386" t="s">
        <v>206</v>
      </c>
      <c r="D827" s="387">
        <v>827000</v>
      </c>
      <c r="G827" s="388"/>
    </row>
    <row r="828" spans="1:7" ht="15.6">
      <c r="A828" s="385">
        <v>290103</v>
      </c>
      <c r="B828" s="386" t="s">
        <v>2830</v>
      </c>
      <c r="C828" s="386" t="s">
        <v>206</v>
      </c>
      <c r="D828" s="387">
        <v>928500</v>
      </c>
      <c r="G828" s="388"/>
    </row>
    <row r="829" spans="1:7" ht="15.6">
      <c r="A829" s="385">
        <v>290104</v>
      </c>
      <c r="B829" s="386" t="s">
        <v>2829</v>
      </c>
      <c r="C829" s="386" t="s">
        <v>206</v>
      </c>
      <c r="D829" s="387">
        <v>950500</v>
      </c>
      <c r="G829" s="388"/>
    </row>
    <row r="830" spans="1:7" ht="15.6">
      <c r="A830" s="385">
        <v>290105</v>
      </c>
      <c r="B830" s="386" t="s">
        <v>2830</v>
      </c>
      <c r="C830" s="386" t="s">
        <v>206</v>
      </c>
      <c r="D830" s="387">
        <v>985000</v>
      </c>
      <c r="G830" s="388"/>
    </row>
    <row r="831" spans="1:7" ht="15.6">
      <c r="A831" s="385">
        <v>290106</v>
      </c>
      <c r="B831" s="386" t="s">
        <v>2831</v>
      </c>
      <c r="C831" s="386" t="s">
        <v>206</v>
      </c>
      <c r="D831" s="387">
        <v>1071000</v>
      </c>
      <c r="G831" s="388"/>
    </row>
    <row r="832" spans="1:7" ht="15.6">
      <c r="A832" s="385">
        <v>290108</v>
      </c>
      <c r="B832" s="386" t="s">
        <v>2832</v>
      </c>
      <c r="C832" s="386" t="s">
        <v>206</v>
      </c>
      <c r="D832" s="390">
        <v>1226000</v>
      </c>
      <c r="G832" s="388"/>
    </row>
    <row r="833" spans="1:7" ht="15.6">
      <c r="A833" s="385">
        <v>290201</v>
      </c>
      <c r="B833" s="386" t="s">
        <v>2833</v>
      </c>
      <c r="C833" s="386" t="s">
        <v>206</v>
      </c>
      <c r="D833" s="387">
        <v>697000</v>
      </c>
      <c r="G833" s="388"/>
    </row>
    <row r="834" spans="1:7" ht="41.4">
      <c r="A834" s="385">
        <v>290301</v>
      </c>
      <c r="B834" s="386" t="s">
        <v>2834</v>
      </c>
      <c r="C834" s="386" t="s">
        <v>206</v>
      </c>
      <c r="D834" s="387">
        <v>2225000</v>
      </c>
      <c r="G834" s="388"/>
    </row>
    <row r="835" spans="1:7" ht="41.4">
      <c r="A835" s="385">
        <v>290302</v>
      </c>
      <c r="B835" s="386" t="s">
        <v>2834</v>
      </c>
      <c r="C835" s="386" t="s">
        <v>206</v>
      </c>
      <c r="D835" s="387">
        <v>2142000</v>
      </c>
      <c r="G835" s="388"/>
    </row>
    <row r="836" spans="1:7" ht="15.6">
      <c r="A836" s="385">
        <v>290601</v>
      </c>
      <c r="B836" s="386" t="s">
        <v>2835</v>
      </c>
      <c r="C836" s="386" t="s">
        <v>206</v>
      </c>
      <c r="D836" s="387"/>
      <c r="G836" s="388"/>
    </row>
    <row r="837" spans="1:7" ht="41.4">
      <c r="A837" s="385">
        <v>290801</v>
      </c>
      <c r="B837" s="386" t="s">
        <v>2836</v>
      </c>
      <c r="C837" s="386" t="s">
        <v>206</v>
      </c>
      <c r="D837" s="387">
        <v>1420000</v>
      </c>
      <c r="G837" s="388"/>
    </row>
    <row r="838" spans="1:7" ht="41.4">
      <c r="A838" s="385">
        <v>290802</v>
      </c>
      <c r="B838" s="386" t="s">
        <v>2837</v>
      </c>
      <c r="C838" s="386" t="s">
        <v>206</v>
      </c>
      <c r="D838" s="387">
        <v>1994000</v>
      </c>
      <c r="G838" s="388"/>
    </row>
    <row r="839" spans="1:7" ht="41.4">
      <c r="A839" s="385">
        <v>290803</v>
      </c>
      <c r="B839" s="386" t="s">
        <v>2838</v>
      </c>
      <c r="C839" s="386" t="s">
        <v>206</v>
      </c>
      <c r="D839" s="387">
        <v>2522000</v>
      </c>
      <c r="G839" s="388"/>
    </row>
    <row r="840" spans="1:7" ht="41.4">
      <c r="A840" s="385">
        <v>290901</v>
      </c>
      <c r="B840" s="386" t="s">
        <v>2839</v>
      </c>
      <c r="C840" s="386" t="s">
        <v>206</v>
      </c>
      <c r="D840" s="387">
        <v>947500</v>
      </c>
      <c r="G840" s="388"/>
    </row>
    <row r="841" spans="1:7" ht="15.6">
      <c r="A841" s="385">
        <v>291101</v>
      </c>
      <c r="B841" s="386" t="s">
        <v>2840</v>
      </c>
      <c r="C841" s="386" t="s">
        <v>161</v>
      </c>
      <c r="D841" s="387"/>
      <c r="G841" s="388"/>
    </row>
    <row r="842" spans="1:7" ht="27.6">
      <c r="A842" s="385">
        <v>291102</v>
      </c>
      <c r="B842" s="386" t="s">
        <v>2841</v>
      </c>
      <c r="C842" s="386" t="s">
        <v>161</v>
      </c>
      <c r="D842" s="387"/>
      <c r="G842" s="388"/>
    </row>
    <row r="843" spans="1:7" ht="27.6">
      <c r="A843" s="385">
        <v>291103</v>
      </c>
      <c r="B843" s="386" t="s">
        <v>2842</v>
      </c>
      <c r="C843" s="386" t="s">
        <v>161</v>
      </c>
      <c r="D843" s="387">
        <v>206500</v>
      </c>
      <c r="G843" s="388"/>
    </row>
    <row r="844" spans="1:7" ht="27.6">
      <c r="A844" s="385">
        <v>291104</v>
      </c>
      <c r="B844" s="386" t="s">
        <v>2843</v>
      </c>
      <c r="C844" s="386" t="s">
        <v>161</v>
      </c>
      <c r="D844" s="387">
        <v>239500</v>
      </c>
      <c r="G844" s="388"/>
    </row>
    <row r="845" spans="1:7" ht="15.6">
      <c r="A845" s="385">
        <v>291105</v>
      </c>
      <c r="B845" s="386" t="s">
        <v>2844</v>
      </c>
      <c r="C845" s="386" t="s">
        <v>161</v>
      </c>
      <c r="D845" s="387">
        <v>173500</v>
      </c>
      <c r="G845" s="388"/>
    </row>
    <row r="846" spans="1:7" ht="15.6">
      <c r="A846" s="385">
        <v>291106</v>
      </c>
      <c r="B846" s="386" t="s">
        <v>2845</v>
      </c>
      <c r="C846" s="386" t="s">
        <v>161</v>
      </c>
      <c r="D846" s="387">
        <v>173500</v>
      </c>
      <c r="G846" s="388"/>
    </row>
    <row r="847" spans="1:7" ht="27.6">
      <c r="A847" s="385">
        <v>291201</v>
      </c>
      <c r="B847" s="386" t="s">
        <v>2846</v>
      </c>
      <c r="C847" s="386" t="s">
        <v>161</v>
      </c>
      <c r="D847" s="387">
        <v>989500</v>
      </c>
      <c r="G847" s="388"/>
    </row>
    <row r="848" spans="1:7" ht="27.6">
      <c r="A848" s="385">
        <v>291202</v>
      </c>
      <c r="B848" s="386" t="s">
        <v>2847</v>
      </c>
      <c r="C848" s="386" t="s">
        <v>161</v>
      </c>
      <c r="D848" s="387">
        <v>717000</v>
      </c>
      <c r="G848" s="388"/>
    </row>
    <row r="849" spans="1:7" ht="27.6">
      <c r="A849" s="385">
        <v>291203</v>
      </c>
      <c r="B849" s="386" t="s">
        <v>2848</v>
      </c>
      <c r="C849" s="386" t="s">
        <v>161</v>
      </c>
      <c r="D849" s="387">
        <v>965500</v>
      </c>
      <c r="G849" s="388"/>
    </row>
    <row r="850" spans="1:7" ht="27.6">
      <c r="A850" s="385">
        <v>291205</v>
      </c>
      <c r="B850" s="386" t="s">
        <v>2849</v>
      </c>
      <c r="C850" s="386" t="s">
        <v>161</v>
      </c>
      <c r="D850" s="387">
        <v>808000</v>
      </c>
      <c r="G850" s="388"/>
    </row>
    <row r="851" spans="1:7" ht="27.6">
      <c r="A851" s="385">
        <v>291206</v>
      </c>
      <c r="B851" s="386" t="s">
        <v>2850</v>
      </c>
      <c r="C851" s="386" t="s">
        <v>161</v>
      </c>
      <c r="D851" s="387">
        <v>1243000</v>
      </c>
      <c r="G851" s="388"/>
    </row>
    <row r="852" spans="1:7" ht="27.6">
      <c r="A852" s="385">
        <v>291207</v>
      </c>
      <c r="B852" s="386" t="s">
        <v>2851</v>
      </c>
      <c r="C852" s="386" t="s">
        <v>161</v>
      </c>
      <c r="D852" s="387">
        <v>1542000</v>
      </c>
      <c r="G852" s="388"/>
    </row>
    <row r="853" spans="1:7" ht="27.6">
      <c r="A853" s="385">
        <v>291210</v>
      </c>
      <c r="B853" s="386" t="s">
        <v>2852</v>
      </c>
      <c r="C853" s="386" t="s">
        <v>161</v>
      </c>
      <c r="D853" s="387">
        <v>917500</v>
      </c>
      <c r="G853" s="388"/>
    </row>
    <row r="854" spans="1:7" ht="27.6">
      <c r="A854" s="385">
        <v>291211</v>
      </c>
      <c r="B854" s="386" t="s">
        <v>2853</v>
      </c>
      <c r="C854" s="386" t="s">
        <v>161</v>
      </c>
      <c r="D854" s="387">
        <v>1197000</v>
      </c>
      <c r="G854" s="388"/>
    </row>
    <row r="855" spans="1:7" ht="15.6">
      <c r="A855" s="385">
        <v>291220</v>
      </c>
      <c r="B855" s="386" t="s">
        <v>2854</v>
      </c>
      <c r="C855" s="386" t="s">
        <v>161</v>
      </c>
      <c r="D855" s="387">
        <v>1104000</v>
      </c>
      <c r="G855" s="388"/>
    </row>
    <row r="856" spans="1:7" ht="15.6">
      <c r="A856" s="385">
        <v>291221</v>
      </c>
      <c r="B856" s="386" t="s">
        <v>2855</v>
      </c>
      <c r="C856" s="386" t="s">
        <v>161</v>
      </c>
      <c r="D856" s="387">
        <v>812500</v>
      </c>
      <c r="G856" s="388"/>
    </row>
    <row r="857" spans="1:7" ht="27.6">
      <c r="A857" s="385">
        <v>291222</v>
      </c>
      <c r="B857" s="386" t="s">
        <v>2856</v>
      </c>
      <c r="C857" s="386" t="s">
        <v>161</v>
      </c>
      <c r="D857" s="387">
        <v>923000</v>
      </c>
      <c r="G857" s="388"/>
    </row>
    <row r="858" spans="1:7" ht="15.6">
      <c r="A858" s="385">
        <v>291223</v>
      </c>
      <c r="B858" s="386" t="s">
        <v>2857</v>
      </c>
      <c r="C858" s="386" t="s">
        <v>161</v>
      </c>
      <c r="D858" s="387">
        <v>1278000</v>
      </c>
      <c r="G858" s="388"/>
    </row>
    <row r="859" spans="1:7" ht="27.6">
      <c r="A859" s="385">
        <v>291224</v>
      </c>
      <c r="B859" s="386" t="s">
        <v>2858</v>
      </c>
      <c r="C859" s="386" t="s">
        <v>161</v>
      </c>
      <c r="D859" s="387">
        <v>2137000</v>
      </c>
      <c r="G859" s="388"/>
    </row>
    <row r="860" spans="1:7" ht="27.6">
      <c r="A860" s="385">
        <v>291230</v>
      </c>
      <c r="B860" s="386" t="s">
        <v>2859</v>
      </c>
      <c r="C860" s="386" t="s">
        <v>161</v>
      </c>
      <c r="D860" s="387"/>
      <c r="G860" s="388"/>
    </row>
    <row r="861" spans="1:7" ht="27.6">
      <c r="A861" s="385">
        <v>291231</v>
      </c>
      <c r="B861" s="386" t="s">
        <v>2860</v>
      </c>
      <c r="C861" s="386" t="s">
        <v>161</v>
      </c>
      <c r="D861" s="387"/>
      <c r="G861" s="388"/>
    </row>
    <row r="862" spans="1:7" ht="27.6">
      <c r="A862" s="385">
        <v>291301</v>
      </c>
      <c r="B862" s="386" t="s">
        <v>2861</v>
      </c>
      <c r="C862" s="386" t="s">
        <v>161</v>
      </c>
      <c r="D862" s="387">
        <v>273000</v>
      </c>
      <c r="G862" s="388"/>
    </row>
    <row r="863" spans="1:7" ht="15.6">
      <c r="A863" s="385">
        <v>291302</v>
      </c>
      <c r="B863" s="386" t="s">
        <v>2862</v>
      </c>
      <c r="C863" s="386" t="s">
        <v>161</v>
      </c>
      <c r="D863" s="387">
        <v>217000</v>
      </c>
      <c r="G863" s="388"/>
    </row>
    <row r="864" spans="1:7" ht="27.6">
      <c r="A864" s="385">
        <v>291401</v>
      </c>
      <c r="B864" s="386" t="s">
        <v>2863</v>
      </c>
      <c r="C864" s="386" t="s">
        <v>161</v>
      </c>
      <c r="D864" s="387">
        <v>333000</v>
      </c>
      <c r="G864" s="388"/>
    </row>
    <row r="865" spans="1:7" ht="27.6">
      <c r="A865" s="385">
        <v>291501</v>
      </c>
      <c r="B865" s="386" t="s">
        <v>2864</v>
      </c>
      <c r="C865" s="386" t="s">
        <v>161</v>
      </c>
      <c r="D865" s="387"/>
      <c r="G865" s="388"/>
    </row>
    <row r="866" spans="1:7" ht="27.6">
      <c r="A866" s="385">
        <v>291502</v>
      </c>
      <c r="B866" s="386" t="s">
        <v>2865</v>
      </c>
      <c r="C866" s="386" t="s">
        <v>161</v>
      </c>
      <c r="D866" s="387"/>
      <c r="G866" s="388"/>
    </row>
    <row r="867" spans="1:7" ht="27.6">
      <c r="A867" s="385">
        <v>291503</v>
      </c>
      <c r="B867" s="386" t="s">
        <v>2866</v>
      </c>
      <c r="C867" s="386" t="s">
        <v>161</v>
      </c>
      <c r="D867" s="387">
        <v>97200</v>
      </c>
      <c r="G867" s="388"/>
    </row>
    <row r="868" spans="1:7" ht="27.6">
      <c r="A868" s="385">
        <v>291504</v>
      </c>
      <c r="B868" s="386" t="s">
        <v>2867</v>
      </c>
      <c r="C868" s="386" t="s">
        <v>161</v>
      </c>
      <c r="D868" s="387">
        <v>97200</v>
      </c>
      <c r="G868" s="388"/>
    </row>
    <row r="869" spans="1:7" ht="27.6">
      <c r="A869" s="385">
        <v>291601</v>
      </c>
      <c r="B869" s="386" t="s">
        <v>2868</v>
      </c>
      <c r="C869" s="386" t="s">
        <v>161</v>
      </c>
      <c r="D869" s="387">
        <v>275000</v>
      </c>
      <c r="G869" s="388"/>
    </row>
    <row r="870" spans="1:7" ht="27.6">
      <c r="A870" s="385">
        <v>291602</v>
      </c>
      <c r="B870" s="386" t="s">
        <v>2869</v>
      </c>
      <c r="C870" s="386" t="s">
        <v>161</v>
      </c>
      <c r="D870" s="387">
        <v>462000</v>
      </c>
      <c r="G870" s="388"/>
    </row>
    <row r="871" spans="1:7" ht="15.6">
      <c r="A871" s="385">
        <v>291605</v>
      </c>
      <c r="B871" s="386" t="s">
        <v>2870</v>
      </c>
      <c r="C871" s="386" t="s">
        <v>161</v>
      </c>
      <c r="D871" s="387">
        <v>504000</v>
      </c>
      <c r="G871" s="388"/>
    </row>
    <row r="872" spans="1:7" ht="27.6">
      <c r="A872" s="385">
        <v>291701</v>
      </c>
      <c r="B872" s="386" t="s">
        <v>2871</v>
      </c>
      <c r="C872" s="386" t="s">
        <v>161</v>
      </c>
      <c r="D872" s="387">
        <v>262500</v>
      </c>
      <c r="G872" s="388"/>
    </row>
    <row r="873" spans="1:7" ht="27.6">
      <c r="A873" s="385">
        <v>291702</v>
      </c>
      <c r="B873" s="386" t="s">
        <v>2872</v>
      </c>
      <c r="C873" s="386" t="s">
        <v>161</v>
      </c>
      <c r="D873" s="387">
        <v>335000</v>
      </c>
      <c r="G873" s="388"/>
    </row>
    <row r="874" spans="1:7" ht="27.6">
      <c r="A874" s="385">
        <v>291703</v>
      </c>
      <c r="B874" s="386" t="s">
        <v>2873</v>
      </c>
      <c r="C874" s="386" t="s">
        <v>161</v>
      </c>
      <c r="D874" s="387"/>
      <c r="G874" s="388"/>
    </row>
    <row r="875" spans="1:7" ht="15.6">
      <c r="A875" s="385">
        <v>291704</v>
      </c>
      <c r="B875" s="386" t="s">
        <v>2874</v>
      </c>
      <c r="C875" s="386" t="s">
        <v>161</v>
      </c>
      <c r="D875" s="387"/>
      <c r="G875" s="388"/>
    </row>
    <row r="876" spans="1:7" ht="15.6">
      <c r="A876" s="385">
        <v>291705</v>
      </c>
      <c r="B876" s="386" t="s">
        <v>2875</v>
      </c>
      <c r="C876" s="386" t="s">
        <v>161</v>
      </c>
      <c r="D876" s="387"/>
      <c r="G876" s="388"/>
    </row>
    <row r="877" spans="1:7" ht="15.6">
      <c r="A877" s="385">
        <v>291706</v>
      </c>
      <c r="B877" s="386" t="s">
        <v>2876</v>
      </c>
      <c r="C877" s="386" t="s">
        <v>161</v>
      </c>
      <c r="D877" s="387"/>
      <c r="G877" s="388"/>
    </row>
    <row r="878" spans="1:7" ht="27.6">
      <c r="A878" s="385">
        <v>300201</v>
      </c>
      <c r="B878" s="386" t="s">
        <v>2877</v>
      </c>
      <c r="C878" s="386" t="s">
        <v>161</v>
      </c>
      <c r="D878" s="387">
        <v>454000</v>
      </c>
      <c r="G878" s="388"/>
    </row>
    <row r="879" spans="1:7" ht="27.6">
      <c r="A879" s="385">
        <v>300203</v>
      </c>
      <c r="B879" s="386" t="s">
        <v>2878</v>
      </c>
      <c r="C879" s="386" t="s">
        <v>161</v>
      </c>
      <c r="D879" s="387">
        <v>609500</v>
      </c>
      <c r="G879" s="388"/>
    </row>
    <row r="880" spans="1:7" ht="27.6">
      <c r="A880" s="385">
        <v>300601</v>
      </c>
      <c r="B880" s="386" t="s">
        <v>2879</v>
      </c>
      <c r="C880" s="386" t="s">
        <v>242</v>
      </c>
      <c r="D880" s="387">
        <v>139500</v>
      </c>
      <c r="G880" s="388"/>
    </row>
    <row r="881" spans="1:7" ht="27.6">
      <c r="A881" s="385">
        <v>300603</v>
      </c>
      <c r="B881" s="386" t="s">
        <v>2880</v>
      </c>
      <c r="C881" s="386" t="s">
        <v>242</v>
      </c>
      <c r="D881" s="387">
        <v>195000</v>
      </c>
      <c r="G881" s="388"/>
    </row>
    <row r="882" spans="1:7" ht="27.6">
      <c r="A882" s="385">
        <v>300701</v>
      </c>
      <c r="B882" s="386" t="s">
        <v>2881</v>
      </c>
      <c r="C882" s="386" t="s">
        <v>161</v>
      </c>
      <c r="D882" s="387">
        <v>255000</v>
      </c>
      <c r="G882" s="388"/>
    </row>
    <row r="883" spans="1:7" ht="27.6">
      <c r="A883" s="385">
        <v>300703</v>
      </c>
      <c r="B883" s="386" t="s">
        <v>2882</v>
      </c>
      <c r="C883" s="386" t="s">
        <v>161</v>
      </c>
      <c r="D883" s="387">
        <v>391000</v>
      </c>
      <c r="G883" s="388"/>
    </row>
    <row r="884" spans="1:7" ht="55.2">
      <c r="A884" s="385">
        <v>300801</v>
      </c>
      <c r="B884" s="386" t="s">
        <v>2883</v>
      </c>
      <c r="C884" s="386" t="s">
        <v>161</v>
      </c>
      <c r="D884" s="387">
        <v>2042000</v>
      </c>
      <c r="G884" s="388"/>
    </row>
    <row r="885" spans="1:7" ht="55.2">
      <c r="A885" s="385">
        <v>300802</v>
      </c>
      <c r="B885" s="386" t="s">
        <v>2884</v>
      </c>
      <c r="C885" s="386" t="s">
        <v>161</v>
      </c>
      <c r="D885" s="387">
        <v>2629000</v>
      </c>
      <c r="G885" s="388"/>
    </row>
    <row r="886" spans="1:7" ht="55.2">
      <c r="A886" s="385">
        <v>300803</v>
      </c>
      <c r="B886" s="386" t="s">
        <v>2885</v>
      </c>
      <c r="C886" s="386" t="s">
        <v>161</v>
      </c>
      <c r="D886" s="387">
        <v>1905000</v>
      </c>
      <c r="G886" s="388"/>
    </row>
    <row r="887" spans="1:7" ht="55.2">
      <c r="A887" s="385">
        <v>300804</v>
      </c>
      <c r="B887" s="386" t="s">
        <v>2886</v>
      </c>
      <c r="C887" s="386"/>
      <c r="D887" s="387"/>
      <c r="G887" s="388"/>
    </row>
    <row r="888" spans="1:7" ht="69">
      <c r="A888" s="385">
        <v>300805</v>
      </c>
      <c r="B888" s="386" t="s">
        <v>2887</v>
      </c>
      <c r="C888" s="386"/>
      <c r="D888" s="387"/>
      <c r="G888" s="388"/>
    </row>
    <row r="889" spans="1:7" ht="27.6">
      <c r="A889" s="385">
        <v>300901</v>
      </c>
      <c r="B889" s="386" t="s">
        <v>2888</v>
      </c>
      <c r="C889" s="386" t="s">
        <v>161</v>
      </c>
      <c r="D889" s="387">
        <v>651500</v>
      </c>
      <c r="G889" s="388"/>
    </row>
    <row r="890" spans="1:7" ht="27.6">
      <c r="A890" s="385">
        <v>300903</v>
      </c>
      <c r="B890" s="386" t="s">
        <v>2889</v>
      </c>
      <c r="C890" s="386" t="s">
        <v>161</v>
      </c>
      <c r="D890" s="387">
        <v>1102000</v>
      </c>
      <c r="G890" s="388"/>
    </row>
    <row r="891" spans="1:7" ht="27.6">
      <c r="A891" s="385">
        <v>301001</v>
      </c>
      <c r="B891" s="386" t="s">
        <v>2890</v>
      </c>
      <c r="C891" s="386" t="s">
        <v>161</v>
      </c>
      <c r="D891" s="387">
        <v>1925000</v>
      </c>
      <c r="G891" s="388"/>
    </row>
    <row r="892" spans="1:7" ht="41.4">
      <c r="A892" s="385">
        <v>301101</v>
      </c>
      <c r="B892" s="386" t="s">
        <v>2891</v>
      </c>
      <c r="C892" s="386" t="s">
        <v>161</v>
      </c>
      <c r="D892" s="387">
        <v>20680000</v>
      </c>
      <c r="G892" s="388"/>
    </row>
    <row r="893" spans="1:7" ht="41.4">
      <c r="A893" s="385">
        <v>301102</v>
      </c>
      <c r="B893" s="386" t="s">
        <v>2892</v>
      </c>
      <c r="C893" s="386" t="s">
        <v>161</v>
      </c>
      <c r="D893" s="387">
        <v>26180000</v>
      </c>
      <c r="G893" s="388"/>
    </row>
    <row r="894" spans="1:7" ht="41.4">
      <c r="A894" s="385">
        <v>301201</v>
      </c>
      <c r="B894" s="386" t="s">
        <v>2893</v>
      </c>
      <c r="C894" s="386" t="s">
        <v>161</v>
      </c>
      <c r="D894" s="387">
        <v>132000000</v>
      </c>
      <c r="G894" s="388"/>
    </row>
    <row r="895" spans="1:7" ht="41.4">
      <c r="A895" s="385">
        <v>301202</v>
      </c>
      <c r="B895" s="386" t="s">
        <v>2894</v>
      </c>
      <c r="C895" s="386" t="s">
        <v>161</v>
      </c>
      <c r="D895" s="387">
        <v>165000000</v>
      </c>
      <c r="G895" s="388"/>
    </row>
    <row r="896" spans="1:7" ht="27.6">
      <c r="A896" s="385">
        <v>301301</v>
      </c>
      <c r="B896" s="386" t="s">
        <v>2895</v>
      </c>
      <c r="C896" s="386" t="s">
        <v>161</v>
      </c>
      <c r="D896" s="387">
        <v>60500</v>
      </c>
      <c r="G896" s="388"/>
    </row>
    <row r="897" spans="1:7" ht="15.6">
      <c r="A897" s="385">
        <v>301401</v>
      </c>
      <c r="B897" s="386" t="s">
        <v>2896</v>
      </c>
      <c r="C897" s="386" t="s">
        <v>161</v>
      </c>
      <c r="D897" s="387">
        <v>550000</v>
      </c>
      <c r="G897" s="388"/>
    </row>
    <row r="898" spans="1:7" ht="15.6">
      <c r="A898" s="385">
        <v>301402</v>
      </c>
      <c r="B898" s="386" t="s">
        <v>2897</v>
      </c>
      <c r="C898" s="386" t="s">
        <v>161</v>
      </c>
      <c r="D898" s="387">
        <v>869000</v>
      </c>
      <c r="G898" s="388"/>
    </row>
    <row r="899" spans="1:7" ht="15.6">
      <c r="A899" s="385">
        <v>301411</v>
      </c>
      <c r="B899" s="386" t="s">
        <v>2898</v>
      </c>
      <c r="C899" s="386" t="s">
        <v>161</v>
      </c>
      <c r="D899" s="387">
        <v>1485000</v>
      </c>
      <c r="G899" s="388"/>
    </row>
    <row r="900" spans="1:7" ht="15.6">
      <c r="A900" s="385">
        <v>301412</v>
      </c>
      <c r="B900" s="386" t="s">
        <v>2899</v>
      </c>
      <c r="C900" s="386" t="s">
        <v>161</v>
      </c>
      <c r="D900" s="387">
        <v>1595000</v>
      </c>
      <c r="G900" s="388"/>
    </row>
    <row r="901" spans="1:7" ht="27.6">
      <c r="A901" s="385">
        <v>301501</v>
      </c>
      <c r="B901" s="386" t="s">
        <v>2900</v>
      </c>
      <c r="C901" s="386" t="s">
        <v>161</v>
      </c>
      <c r="D901" s="387">
        <v>1170000</v>
      </c>
      <c r="G901" s="388"/>
    </row>
    <row r="902" spans="1:7" ht="41.4">
      <c r="A902" s="385">
        <v>310101</v>
      </c>
      <c r="B902" s="386" t="s">
        <v>2901</v>
      </c>
      <c r="C902" s="386" t="s">
        <v>206</v>
      </c>
      <c r="D902" s="387">
        <v>49000000</v>
      </c>
      <c r="G902" s="388"/>
    </row>
    <row r="903" spans="1:7" ht="41.4">
      <c r="A903" s="385">
        <v>310102</v>
      </c>
      <c r="B903" s="386" t="s">
        <v>2902</v>
      </c>
      <c r="C903" s="386" t="s">
        <v>206</v>
      </c>
      <c r="D903" s="387">
        <v>5068000</v>
      </c>
      <c r="G903" s="388"/>
    </row>
    <row r="904" spans="1:7" ht="41.4">
      <c r="A904" s="385">
        <v>310103</v>
      </c>
      <c r="B904" s="386" t="s">
        <v>2903</v>
      </c>
      <c r="C904" s="386" t="s">
        <v>206</v>
      </c>
      <c r="D904" s="387">
        <v>6124000</v>
      </c>
      <c r="G904" s="388"/>
    </row>
    <row r="905" spans="1:7" ht="55.2">
      <c r="A905" s="385">
        <v>310104</v>
      </c>
      <c r="B905" s="386" t="s">
        <v>2904</v>
      </c>
      <c r="C905" s="386" t="s">
        <v>206</v>
      </c>
      <c r="D905" s="387">
        <v>32997000</v>
      </c>
      <c r="G905" s="388"/>
    </row>
    <row r="906" spans="1:7" ht="41.4">
      <c r="A906" s="385">
        <v>310105</v>
      </c>
      <c r="B906" s="386" t="s">
        <v>2905</v>
      </c>
      <c r="C906" s="386" t="s">
        <v>206</v>
      </c>
      <c r="D906" s="387">
        <v>9982000</v>
      </c>
      <c r="G906" s="388"/>
    </row>
    <row r="907" spans="1:7" ht="55.2">
      <c r="A907" s="385">
        <v>310106</v>
      </c>
      <c r="B907" s="386" t="s">
        <v>2906</v>
      </c>
      <c r="C907" s="386" t="s">
        <v>206</v>
      </c>
      <c r="D907" s="387">
        <v>14785000</v>
      </c>
      <c r="G907" s="388"/>
    </row>
    <row r="908" spans="1:7" ht="55.2">
      <c r="A908" s="385">
        <v>310107</v>
      </c>
      <c r="B908" s="386" t="s">
        <v>2907</v>
      </c>
      <c r="C908" s="386" t="s">
        <v>206</v>
      </c>
      <c r="D908" s="387">
        <v>15303000</v>
      </c>
      <c r="G908" s="388"/>
    </row>
    <row r="909" spans="1:7" ht="41.4">
      <c r="A909" s="385">
        <v>310108</v>
      </c>
      <c r="B909" s="386" t="s">
        <v>2908</v>
      </c>
      <c r="C909" s="386" t="s">
        <v>206</v>
      </c>
      <c r="D909" s="387">
        <v>13869000</v>
      </c>
      <c r="G909" s="388"/>
    </row>
    <row r="910" spans="1:7" ht="55.2">
      <c r="A910" s="385">
        <v>310109</v>
      </c>
      <c r="B910" s="386" t="s">
        <v>2909</v>
      </c>
      <c r="C910" s="386" t="s">
        <v>206</v>
      </c>
      <c r="D910" s="387">
        <v>16342000</v>
      </c>
      <c r="G910" s="388"/>
    </row>
    <row r="911" spans="1:7" ht="55.2">
      <c r="A911" s="385">
        <v>310110</v>
      </c>
      <c r="B911" s="386" t="s">
        <v>2910</v>
      </c>
      <c r="C911" s="386" t="s">
        <v>206</v>
      </c>
      <c r="D911" s="387">
        <v>27712000</v>
      </c>
      <c r="G911" s="388"/>
    </row>
    <row r="912" spans="1:7" ht="41.4">
      <c r="A912" s="385">
        <v>310111</v>
      </c>
      <c r="B912" s="386" t="s">
        <v>2911</v>
      </c>
      <c r="C912" s="386" t="s">
        <v>206</v>
      </c>
      <c r="D912" s="387">
        <v>5558000</v>
      </c>
      <c r="G912" s="388"/>
    </row>
    <row r="913" spans="1:7" ht="41.4">
      <c r="A913" s="385">
        <v>310112</v>
      </c>
      <c r="B913" s="386" t="s">
        <v>2912</v>
      </c>
      <c r="C913" s="386" t="s">
        <v>206</v>
      </c>
      <c r="D913" s="387">
        <v>6049000</v>
      </c>
      <c r="G913" s="388"/>
    </row>
    <row r="914" spans="1:7" ht="27.6">
      <c r="A914" s="385">
        <v>310201</v>
      </c>
      <c r="B914" s="386" t="s">
        <v>2913</v>
      </c>
      <c r="C914" s="386" t="s">
        <v>206</v>
      </c>
      <c r="D914" s="387">
        <v>14909000</v>
      </c>
      <c r="G914" s="388"/>
    </row>
    <row r="915" spans="1:7" ht="27.6">
      <c r="A915" s="385">
        <v>310202</v>
      </c>
      <c r="B915" s="386" t="s">
        <v>2914</v>
      </c>
      <c r="C915" s="386" t="s">
        <v>206</v>
      </c>
      <c r="D915" s="387">
        <v>16609000</v>
      </c>
      <c r="G915" s="388"/>
    </row>
    <row r="916" spans="1:7" ht="27.6">
      <c r="A916" s="385">
        <v>310203</v>
      </c>
      <c r="B916" s="386" t="s">
        <v>2915</v>
      </c>
      <c r="C916" s="386" t="s">
        <v>206</v>
      </c>
      <c r="D916" s="387">
        <v>23981000</v>
      </c>
      <c r="G916" s="388"/>
    </row>
    <row r="917" spans="1:7" ht="27.6">
      <c r="A917" s="385">
        <v>310204</v>
      </c>
      <c r="B917" s="386" t="s">
        <v>2916</v>
      </c>
      <c r="C917" s="386" t="s">
        <v>206</v>
      </c>
      <c r="D917" s="387">
        <v>30887000</v>
      </c>
      <c r="G917" s="388"/>
    </row>
    <row r="918" spans="1:7" ht="27.6">
      <c r="A918" s="385">
        <v>310205</v>
      </c>
      <c r="B918" s="386" t="s">
        <v>2917</v>
      </c>
      <c r="C918" s="386" t="s">
        <v>206</v>
      </c>
      <c r="D918" s="387">
        <v>14896000</v>
      </c>
      <c r="G918" s="388"/>
    </row>
    <row r="919" spans="1:7" ht="27.6">
      <c r="A919" s="385">
        <v>310206</v>
      </c>
      <c r="B919" s="386" t="s">
        <v>2918</v>
      </c>
      <c r="C919" s="386" t="s">
        <v>206</v>
      </c>
      <c r="D919" s="387">
        <v>14896000</v>
      </c>
      <c r="G919" s="388"/>
    </row>
    <row r="920" spans="1:7" ht="27.6">
      <c r="A920" s="385">
        <v>310207</v>
      </c>
      <c r="B920" s="386" t="s">
        <v>2919</v>
      </c>
      <c r="C920" s="386" t="s">
        <v>206</v>
      </c>
      <c r="D920" s="387">
        <v>9605000</v>
      </c>
      <c r="G920" s="388"/>
    </row>
    <row r="921" spans="1:7" ht="41.4">
      <c r="A921" s="385">
        <v>310208</v>
      </c>
      <c r="B921" s="386" t="s">
        <v>2920</v>
      </c>
      <c r="C921" s="386" t="s">
        <v>206</v>
      </c>
      <c r="D921" s="387">
        <v>13169000</v>
      </c>
      <c r="G921" s="388"/>
    </row>
    <row r="922" spans="1:7" ht="41.4">
      <c r="A922" s="385">
        <v>310209</v>
      </c>
      <c r="B922" s="386" t="s">
        <v>2921</v>
      </c>
      <c r="C922" s="386" t="s">
        <v>206</v>
      </c>
      <c r="D922" s="387">
        <v>23402000</v>
      </c>
      <c r="G922" s="388"/>
    </row>
    <row r="923" spans="1:7" ht="41.4">
      <c r="A923" s="385">
        <v>310210</v>
      </c>
      <c r="B923" s="386" t="s">
        <v>2922</v>
      </c>
      <c r="C923" s="386" t="s">
        <v>206</v>
      </c>
      <c r="D923" s="387">
        <v>21923000</v>
      </c>
      <c r="G923" s="388"/>
    </row>
    <row r="924" spans="1:7" ht="55.2">
      <c r="A924" s="385">
        <v>310211</v>
      </c>
      <c r="B924" s="386" t="s">
        <v>2923</v>
      </c>
      <c r="C924" s="386" t="s">
        <v>206</v>
      </c>
      <c r="D924" s="387">
        <v>174843000</v>
      </c>
      <c r="G924" s="388"/>
    </row>
    <row r="925" spans="1:7" ht="55.2">
      <c r="A925" s="385">
        <v>310212</v>
      </c>
      <c r="B925" s="386" t="s">
        <v>2924</v>
      </c>
      <c r="C925" s="386" t="s">
        <v>206</v>
      </c>
      <c r="D925" s="387">
        <v>175813000</v>
      </c>
      <c r="G925" s="388"/>
    </row>
    <row r="926" spans="1:7" ht="41.4">
      <c r="A926" s="385">
        <v>310213</v>
      </c>
      <c r="B926" s="386" t="s">
        <v>2925</v>
      </c>
      <c r="C926" s="386" t="s">
        <v>206</v>
      </c>
      <c r="D926" s="387">
        <v>103765000</v>
      </c>
      <c r="G926" s="388"/>
    </row>
    <row r="927" spans="1:7" ht="55.2">
      <c r="A927" s="385">
        <v>310301</v>
      </c>
      <c r="B927" s="386" t="s">
        <v>2926</v>
      </c>
      <c r="C927" s="386" t="s">
        <v>206</v>
      </c>
      <c r="D927" s="387">
        <v>40598000</v>
      </c>
      <c r="G927" s="388"/>
    </row>
    <row r="928" spans="1:7" ht="41.4">
      <c r="A928" s="385">
        <v>310302</v>
      </c>
      <c r="B928" s="386" t="s">
        <v>2927</v>
      </c>
      <c r="C928" s="386" t="s">
        <v>206</v>
      </c>
      <c r="D928" s="387">
        <v>32244000</v>
      </c>
      <c r="G928" s="388"/>
    </row>
    <row r="929" spans="1:7" ht="41.4">
      <c r="A929" s="385">
        <v>310303</v>
      </c>
      <c r="B929" s="386" t="s">
        <v>2928</v>
      </c>
      <c r="C929" s="386" t="s">
        <v>206</v>
      </c>
      <c r="D929" s="387">
        <v>23918000</v>
      </c>
      <c r="G929" s="388"/>
    </row>
    <row r="930" spans="1:7" ht="27.6">
      <c r="A930" s="385">
        <v>310304</v>
      </c>
      <c r="B930" s="386" t="s">
        <v>2929</v>
      </c>
      <c r="C930" s="386" t="s">
        <v>206</v>
      </c>
      <c r="D930" s="387">
        <v>44909000</v>
      </c>
      <c r="G930" s="388"/>
    </row>
    <row r="931" spans="1:7" ht="27.6">
      <c r="A931" s="385">
        <v>310305</v>
      </c>
      <c r="B931" s="386" t="s">
        <v>2930</v>
      </c>
      <c r="C931" s="386" t="s">
        <v>206</v>
      </c>
      <c r="D931" s="387">
        <v>39964000</v>
      </c>
      <c r="G931" s="388"/>
    </row>
    <row r="932" spans="1:7" ht="15.6">
      <c r="A932" s="385">
        <v>310401</v>
      </c>
      <c r="B932" s="386" t="s">
        <v>2931</v>
      </c>
      <c r="C932" s="386" t="s">
        <v>158</v>
      </c>
      <c r="D932" s="387">
        <v>18185000</v>
      </c>
      <c r="G932" s="388"/>
    </row>
    <row r="933" spans="1:7" ht="15.6">
      <c r="A933" s="385">
        <v>310402</v>
      </c>
      <c r="B933" s="386" t="s">
        <v>2932</v>
      </c>
      <c r="C933" s="386" t="s">
        <v>158</v>
      </c>
      <c r="D933" s="387">
        <v>17562000</v>
      </c>
      <c r="G933" s="388"/>
    </row>
    <row r="934" spans="1:7" ht="15.6">
      <c r="A934" s="385">
        <v>310403</v>
      </c>
      <c r="B934" s="386" t="s">
        <v>2933</v>
      </c>
      <c r="C934" s="386" t="s">
        <v>158</v>
      </c>
      <c r="D934" s="387">
        <v>18319000</v>
      </c>
      <c r="G934" s="388"/>
    </row>
    <row r="935" spans="1:7" ht="55.2">
      <c r="A935" s="385">
        <v>310501</v>
      </c>
      <c r="B935" s="386" t="s">
        <v>2934</v>
      </c>
      <c r="C935" s="386" t="s">
        <v>15</v>
      </c>
      <c r="D935" s="387">
        <v>7372000</v>
      </c>
      <c r="G935" s="388"/>
    </row>
    <row r="936" spans="1:7" ht="69">
      <c r="A936" s="385">
        <v>310502</v>
      </c>
      <c r="B936" s="386" t="s">
        <v>2935</v>
      </c>
      <c r="C936" s="386" t="s">
        <v>242</v>
      </c>
      <c r="D936" s="387">
        <v>5764000</v>
      </c>
      <c r="G936" s="388"/>
    </row>
    <row r="937" spans="1:7" ht="41.4">
      <c r="A937" s="385">
        <v>310503</v>
      </c>
      <c r="B937" s="386" t="s">
        <v>2936</v>
      </c>
      <c r="C937" s="386" t="s">
        <v>242</v>
      </c>
      <c r="D937" s="387">
        <v>5906000</v>
      </c>
      <c r="G937" s="388"/>
    </row>
    <row r="938" spans="1:7" ht="41.4">
      <c r="A938" s="385">
        <v>310504</v>
      </c>
      <c r="B938" s="386" t="s">
        <v>2937</v>
      </c>
      <c r="C938" s="386" t="s">
        <v>206</v>
      </c>
      <c r="D938" s="387">
        <v>2154000</v>
      </c>
      <c r="G938" s="388"/>
    </row>
    <row r="939" spans="1:7" ht="55.2">
      <c r="A939" s="385">
        <v>310505</v>
      </c>
      <c r="B939" s="386" t="s">
        <v>2938</v>
      </c>
      <c r="C939" s="386" t="s">
        <v>206</v>
      </c>
      <c r="D939" s="387">
        <v>3418000</v>
      </c>
      <c r="G939" s="388"/>
    </row>
    <row r="940" spans="1:7" ht="41.4">
      <c r="A940" s="385">
        <v>310506</v>
      </c>
      <c r="B940" s="386" t="s">
        <v>2939</v>
      </c>
      <c r="C940" s="386" t="s">
        <v>206</v>
      </c>
      <c r="D940" s="387">
        <v>12295000</v>
      </c>
      <c r="G940" s="388"/>
    </row>
    <row r="941" spans="1:7" ht="55.2">
      <c r="A941" s="385">
        <v>310507</v>
      </c>
      <c r="B941" s="386" t="s">
        <v>2940</v>
      </c>
      <c r="C941" s="386" t="s">
        <v>206</v>
      </c>
      <c r="D941" s="387">
        <v>11038000</v>
      </c>
      <c r="G941" s="388"/>
    </row>
    <row r="942" spans="1:7" ht="55.2">
      <c r="A942" s="385">
        <v>310508</v>
      </c>
      <c r="B942" s="386" t="s">
        <v>2941</v>
      </c>
      <c r="C942" s="386" t="s">
        <v>206</v>
      </c>
      <c r="D942" s="387">
        <v>10698000</v>
      </c>
      <c r="G942" s="388"/>
    </row>
    <row r="943" spans="1:7" ht="41.4">
      <c r="A943" s="385">
        <v>310509</v>
      </c>
      <c r="B943" s="386" t="s">
        <v>2942</v>
      </c>
      <c r="C943" s="386" t="s">
        <v>206</v>
      </c>
      <c r="D943" s="387">
        <v>4155000</v>
      </c>
      <c r="G943" s="388"/>
    </row>
    <row r="944" spans="1:7" ht="69">
      <c r="A944" s="385">
        <v>310510</v>
      </c>
      <c r="B944" s="386" t="s">
        <v>2943</v>
      </c>
      <c r="C944" s="386" t="s">
        <v>206</v>
      </c>
      <c r="D944" s="387">
        <v>10900000</v>
      </c>
      <c r="G944" s="388"/>
    </row>
    <row r="945" spans="1:7" ht="55.2">
      <c r="A945" s="385">
        <v>310511</v>
      </c>
      <c r="B945" s="386" t="s">
        <v>2944</v>
      </c>
      <c r="C945" s="386" t="s">
        <v>206</v>
      </c>
      <c r="D945" s="387">
        <v>6837000</v>
      </c>
      <c r="G945" s="388"/>
    </row>
    <row r="946" spans="1:7" ht="41.4">
      <c r="A946" s="385">
        <v>310512</v>
      </c>
      <c r="B946" s="386" t="s">
        <v>2945</v>
      </c>
      <c r="C946" s="386" t="s">
        <v>206</v>
      </c>
      <c r="D946" s="387">
        <v>7517000</v>
      </c>
      <c r="G946" s="388"/>
    </row>
    <row r="947" spans="1:7" ht="41.4">
      <c r="A947" s="385">
        <v>310513</v>
      </c>
      <c r="B947" s="386" t="s">
        <v>2946</v>
      </c>
      <c r="C947" s="386" t="s">
        <v>206</v>
      </c>
      <c r="D947" s="387">
        <v>4011000</v>
      </c>
      <c r="G947" s="388"/>
    </row>
    <row r="948" spans="1:7" ht="69">
      <c r="A948" s="385">
        <v>310514</v>
      </c>
      <c r="B948" s="386" t="s">
        <v>2947</v>
      </c>
      <c r="C948" s="386" t="s">
        <v>206</v>
      </c>
      <c r="D948" s="387">
        <v>13181000</v>
      </c>
      <c r="G948" s="388"/>
    </row>
    <row r="949" spans="1:7" ht="55.2">
      <c r="A949" s="385">
        <v>310515</v>
      </c>
      <c r="B949" s="386" t="s">
        <v>2948</v>
      </c>
      <c r="C949" s="386" t="s">
        <v>206</v>
      </c>
      <c r="D949" s="387">
        <v>7624000</v>
      </c>
      <c r="G949" s="388"/>
    </row>
    <row r="950" spans="1:7" ht="55.2">
      <c r="A950" s="385">
        <v>310516</v>
      </c>
      <c r="B950" s="386" t="s">
        <v>2949</v>
      </c>
      <c r="C950" s="386" t="s">
        <v>206</v>
      </c>
      <c r="D950" s="387">
        <v>7191000</v>
      </c>
      <c r="G950" s="388"/>
    </row>
    <row r="951" spans="1:7" ht="110.4">
      <c r="A951" s="385">
        <v>310517</v>
      </c>
      <c r="B951" s="386" t="s">
        <v>2950</v>
      </c>
      <c r="C951" s="386" t="s">
        <v>206</v>
      </c>
      <c r="D951" s="387">
        <v>20902000</v>
      </c>
      <c r="G951" s="388"/>
    </row>
    <row r="952" spans="1:7" ht="69">
      <c r="A952" s="385">
        <v>310518</v>
      </c>
      <c r="B952" s="386" t="s">
        <v>2951</v>
      </c>
      <c r="C952" s="386" t="s">
        <v>206</v>
      </c>
      <c r="D952" s="387">
        <v>11849000</v>
      </c>
      <c r="G952" s="388"/>
    </row>
    <row r="953" spans="1:7" ht="69">
      <c r="A953" s="385">
        <v>310519</v>
      </c>
      <c r="B953" s="386" t="s">
        <v>2952</v>
      </c>
      <c r="C953" s="386" t="s">
        <v>206</v>
      </c>
      <c r="D953" s="387">
        <v>21733000</v>
      </c>
      <c r="G953" s="388"/>
    </row>
    <row r="954" spans="1:7" ht="55.2">
      <c r="A954" s="385">
        <v>310520</v>
      </c>
      <c r="B954" s="386" t="s">
        <v>2953</v>
      </c>
      <c r="C954" s="386" t="s">
        <v>206</v>
      </c>
      <c r="D954" s="387">
        <v>22574000</v>
      </c>
      <c r="G954" s="388"/>
    </row>
    <row r="955" spans="1:7" ht="96.6">
      <c r="A955" s="385">
        <v>310521</v>
      </c>
      <c r="B955" s="386" t="s">
        <v>2954</v>
      </c>
      <c r="C955" s="386" t="s">
        <v>206</v>
      </c>
      <c r="D955" s="387">
        <v>23888000</v>
      </c>
      <c r="G955" s="388"/>
    </row>
    <row r="956" spans="1:7" ht="96.6">
      <c r="A956" s="385">
        <v>310522</v>
      </c>
      <c r="B956" s="386" t="s">
        <v>2955</v>
      </c>
      <c r="C956" s="386" t="s">
        <v>206</v>
      </c>
      <c r="D956" s="387">
        <v>34740000</v>
      </c>
      <c r="G956" s="388"/>
    </row>
    <row r="957" spans="1:7" ht="165.6">
      <c r="A957" s="385">
        <v>310523</v>
      </c>
      <c r="B957" s="386" t="s">
        <v>2956</v>
      </c>
      <c r="C957" s="386" t="s">
        <v>206</v>
      </c>
      <c r="D957" s="387">
        <v>34115000</v>
      </c>
      <c r="G957" s="388"/>
    </row>
    <row r="958" spans="1:7" ht="96.6">
      <c r="A958" s="385">
        <v>310524</v>
      </c>
      <c r="B958" s="386" t="s">
        <v>2957</v>
      </c>
      <c r="C958" s="386" t="s">
        <v>206</v>
      </c>
      <c r="D958" s="387">
        <v>47697000</v>
      </c>
      <c r="G958" s="388"/>
    </row>
    <row r="959" spans="1:7" ht="138">
      <c r="A959" s="385">
        <v>310525</v>
      </c>
      <c r="B959" s="386" t="s">
        <v>2958</v>
      </c>
      <c r="C959" s="386" t="s">
        <v>206</v>
      </c>
      <c r="D959" s="387">
        <v>34288000</v>
      </c>
      <c r="G959" s="388"/>
    </row>
    <row r="960" spans="1:7" ht="55.2">
      <c r="A960" s="385">
        <v>310526</v>
      </c>
      <c r="B960" s="386" t="s">
        <v>2959</v>
      </c>
      <c r="C960" s="386" t="s">
        <v>206</v>
      </c>
      <c r="D960" s="387">
        <v>10875000</v>
      </c>
      <c r="G960" s="388"/>
    </row>
    <row r="961" spans="1:7" ht="41.4">
      <c r="A961" s="385">
        <v>310527</v>
      </c>
      <c r="B961" s="386" t="s">
        <v>2960</v>
      </c>
      <c r="C961" s="386" t="s">
        <v>242</v>
      </c>
      <c r="D961" s="387">
        <v>2667000</v>
      </c>
      <c r="G961" s="388"/>
    </row>
    <row r="962" spans="1:7" ht="27.6">
      <c r="A962" s="385">
        <v>310528</v>
      </c>
      <c r="B962" s="386" t="s">
        <v>2961</v>
      </c>
      <c r="C962" s="386" t="s">
        <v>242</v>
      </c>
      <c r="D962" s="387">
        <v>1411000</v>
      </c>
      <c r="G962" s="388"/>
    </row>
    <row r="963" spans="1:7" ht="41.4">
      <c r="A963" s="385">
        <v>310529</v>
      </c>
      <c r="B963" s="386" t="s">
        <v>2962</v>
      </c>
      <c r="C963" s="386" t="s">
        <v>242</v>
      </c>
      <c r="D963" s="387">
        <v>1769000</v>
      </c>
      <c r="G963" s="388"/>
    </row>
    <row r="964" spans="1:7" ht="55.2">
      <c r="A964" s="385">
        <v>310530</v>
      </c>
      <c r="B964" s="386" t="s">
        <v>2963</v>
      </c>
      <c r="C964" s="386" t="s">
        <v>242</v>
      </c>
      <c r="D964" s="387">
        <v>1410000</v>
      </c>
      <c r="G964" s="388"/>
    </row>
    <row r="965" spans="1:7" ht="27.6">
      <c r="A965" s="385">
        <v>310701</v>
      </c>
      <c r="B965" s="386" t="s">
        <v>2964</v>
      </c>
      <c r="C965" s="386" t="s">
        <v>206</v>
      </c>
      <c r="D965" s="387">
        <v>3767000</v>
      </c>
      <c r="G965" s="388"/>
    </row>
    <row r="966" spans="1:7" ht="27.6">
      <c r="A966" s="385">
        <v>310702</v>
      </c>
      <c r="B966" s="386" t="s">
        <v>2965</v>
      </c>
      <c r="C966" s="386" t="s">
        <v>206</v>
      </c>
      <c r="D966" s="387">
        <v>5581000</v>
      </c>
      <c r="G966" s="388"/>
    </row>
    <row r="967" spans="1:7" ht="124.2">
      <c r="A967" s="385">
        <v>310801</v>
      </c>
      <c r="B967" s="386" t="s">
        <v>2966</v>
      </c>
      <c r="C967" s="386" t="s">
        <v>242</v>
      </c>
      <c r="D967" s="387">
        <v>7128000</v>
      </c>
      <c r="G967" s="388"/>
    </row>
    <row r="968" spans="1:7" ht="69">
      <c r="A968" s="385">
        <v>310802</v>
      </c>
      <c r="B968" s="386" t="s">
        <v>2967</v>
      </c>
      <c r="C968" s="386" t="s">
        <v>242</v>
      </c>
      <c r="D968" s="387">
        <v>5120000</v>
      </c>
      <c r="G968" s="388"/>
    </row>
    <row r="969" spans="1:7" ht="69">
      <c r="A969" s="385">
        <v>310803</v>
      </c>
      <c r="B969" s="386" t="s">
        <v>2968</v>
      </c>
      <c r="C969" s="386" t="s">
        <v>242</v>
      </c>
      <c r="D969" s="387">
        <v>5042000</v>
      </c>
      <c r="G969" s="388"/>
    </row>
    <row r="970" spans="1:7" ht="27.6">
      <c r="A970" s="385">
        <v>320102</v>
      </c>
      <c r="B970" s="386" t="s">
        <v>2969</v>
      </c>
      <c r="C970" s="386" t="s">
        <v>206</v>
      </c>
      <c r="D970" s="387">
        <v>35292000</v>
      </c>
      <c r="G970" s="388"/>
    </row>
    <row r="971" spans="1:7" ht="27.6">
      <c r="A971" s="385">
        <v>320103</v>
      </c>
      <c r="B971" s="386" t="s">
        <v>2970</v>
      </c>
      <c r="C971" s="386" t="s">
        <v>206</v>
      </c>
      <c r="D971" s="387">
        <v>40748000</v>
      </c>
      <c r="G971" s="388"/>
    </row>
    <row r="972" spans="1:7" ht="27.6">
      <c r="A972" s="385">
        <v>320104</v>
      </c>
      <c r="B972" s="386" t="s">
        <v>2971</v>
      </c>
      <c r="C972" s="386" t="s">
        <v>206</v>
      </c>
      <c r="D972" s="387">
        <v>53226000</v>
      </c>
      <c r="G972" s="388"/>
    </row>
    <row r="973" spans="1:7" ht="27.6">
      <c r="A973" s="385">
        <v>320107</v>
      </c>
      <c r="B973" s="386" t="s">
        <v>2972</v>
      </c>
      <c r="C973" s="386" t="s">
        <v>206</v>
      </c>
      <c r="D973" s="387">
        <v>65466000</v>
      </c>
      <c r="G973" s="388"/>
    </row>
    <row r="974" spans="1:7" ht="27.6">
      <c r="A974" s="385">
        <v>320109</v>
      </c>
      <c r="B974" s="386" t="s">
        <v>2973</v>
      </c>
      <c r="C974" s="386" t="s">
        <v>206</v>
      </c>
      <c r="D974" s="387">
        <v>78323000</v>
      </c>
      <c r="G974" s="388"/>
    </row>
    <row r="975" spans="1:7" ht="27.6">
      <c r="A975" s="385">
        <v>320110</v>
      </c>
      <c r="B975" s="386" t="s">
        <v>2974</v>
      </c>
      <c r="C975" s="386" t="s">
        <v>206</v>
      </c>
      <c r="D975" s="387">
        <v>91974000</v>
      </c>
      <c r="G975" s="388"/>
    </row>
    <row r="976" spans="1:7" ht="27.6">
      <c r="A976" s="385">
        <v>320113</v>
      </c>
      <c r="B976" s="386" t="s">
        <v>2975</v>
      </c>
      <c r="C976" s="386" t="s">
        <v>206</v>
      </c>
      <c r="D976" s="387">
        <v>110472000</v>
      </c>
      <c r="G976" s="388"/>
    </row>
    <row r="977" spans="1:7" ht="27.6">
      <c r="A977" s="385">
        <v>320116</v>
      </c>
      <c r="B977" s="386" t="s">
        <v>2976</v>
      </c>
      <c r="C977" s="386" t="s">
        <v>206</v>
      </c>
      <c r="D977" s="387">
        <v>139254000</v>
      </c>
      <c r="G977" s="388"/>
    </row>
    <row r="978" spans="1:7" ht="27.6">
      <c r="A978" s="385">
        <v>320118</v>
      </c>
      <c r="B978" s="386" t="s">
        <v>2977</v>
      </c>
      <c r="C978" s="386" t="s">
        <v>206</v>
      </c>
      <c r="D978" s="387">
        <v>164134000</v>
      </c>
      <c r="G978" s="388"/>
    </row>
    <row r="979" spans="1:7" ht="27.6">
      <c r="A979" s="385">
        <v>320119</v>
      </c>
      <c r="B979" s="386" t="s">
        <v>2978</v>
      </c>
      <c r="C979" s="386" t="s">
        <v>206</v>
      </c>
      <c r="D979" s="387">
        <v>211386000</v>
      </c>
      <c r="G979" s="388"/>
    </row>
    <row r="980" spans="1:7" ht="27.6">
      <c r="A980" s="385">
        <v>320201</v>
      </c>
      <c r="B980" s="386" t="s">
        <v>2979</v>
      </c>
      <c r="C980" s="386" t="s">
        <v>206</v>
      </c>
      <c r="D980" s="387">
        <v>50375000</v>
      </c>
      <c r="G980" s="388"/>
    </row>
    <row r="981" spans="1:7" ht="27.6">
      <c r="A981" s="385">
        <v>320202</v>
      </c>
      <c r="B981" s="386" t="s">
        <v>2980</v>
      </c>
      <c r="C981" s="386" t="s">
        <v>206</v>
      </c>
      <c r="D981" s="387">
        <v>53105000</v>
      </c>
      <c r="G981" s="388"/>
    </row>
    <row r="982" spans="1:7" ht="27.6">
      <c r="A982" s="385">
        <v>320203</v>
      </c>
      <c r="B982" s="386" t="s">
        <v>2981</v>
      </c>
      <c r="C982" s="386" t="s">
        <v>206</v>
      </c>
      <c r="D982" s="387">
        <v>64977000</v>
      </c>
      <c r="G982" s="388"/>
    </row>
    <row r="983" spans="1:7" ht="27.6">
      <c r="A983" s="385">
        <v>320206</v>
      </c>
      <c r="B983" s="386" t="s">
        <v>2982</v>
      </c>
      <c r="C983" s="386" t="s">
        <v>206</v>
      </c>
      <c r="D983" s="387">
        <v>94380000</v>
      </c>
      <c r="G983" s="388"/>
    </row>
    <row r="984" spans="1:7" ht="27.6">
      <c r="A984" s="385">
        <v>320208</v>
      </c>
      <c r="B984" s="386" t="s">
        <v>2983</v>
      </c>
      <c r="C984" s="386" t="s">
        <v>206</v>
      </c>
      <c r="D984" s="387">
        <v>103174000</v>
      </c>
      <c r="G984" s="388"/>
    </row>
    <row r="985" spans="1:7" ht="27.6">
      <c r="A985" s="385">
        <v>320209</v>
      </c>
      <c r="B985" s="386" t="s">
        <v>2984</v>
      </c>
      <c r="C985" s="386" t="s">
        <v>206</v>
      </c>
      <c r="D985" s="387">
        <v>118541000</v>
      </c>
      <c r="G985" s="388"/>
    </row>
    <row r="986" spans="1:7" ht="27.6">
      <c r="A986" s="385">
        <v>320212</v>
      </c>
      <c r="B986" s="386" t="s">
        <v>2985</v>
      </c>
      <c r="C986" s="386" t="s">
        <v>206</v>
      </c>
      <c r="D986" s="387">
        <v>134439000</v>
      </c>
      <c r="G986" s="388"/>
    </row>
    <row r="987" spans="1:7" ht="27.6">
      <c r="A987" s="385">
        <v>320215</v>
      </c>
      <c r="B987" s="386" t="s">
        <v>2986</v>
      </c>
      <c r="C987" s="386" t="s">
        <v>206</v>
      </c>
      <c r="D987" s="387">
        <v>178769000</v>
      </c>
      <c r="G987" s="388"/>
    </row>
    <row r="988" spans="1:7" ht="27.6">
      <c r="A988" s="385">
        <v>320216</v>
      </c>
      <c r="B988" s="386" t="s">
        <v>2987</v>
      </c>
      <c r="C988" s="386" t="s">
        <v>206</v>
      </c>
      <c r="D988" s="387">
        <v>215685000</v>
      </c>
      <c r="G988" s="388"/>
    </row>
    <row r="989" spans="1:7" ht="27.6">
      <c r="A989" s="385">
        <v>320217</v>
      </c>
      <c r="B989" s="386" t="s">
        <v>2988</v>
      </c>
      <c r="C989" s="386" t="s">
        <v>206</v>
      </c>
      <c r="D989" s="387">
        <v>253324000</v>
      </c>
      <c r="G989" s="388"/>
    </row>
    <row r="990" spans="1:7" ht="41.4">
      <c r="A990" s="385">
        <v>330201</v>
      </c>
      <c r="B990" s="386" t="s">
        <v>2989</v>
      </c>
      <c r="C990" s="386" t="s">
        <v>335</v>
      </c>
      <c r="D990" s="387">
        <v>41500</v>
      </c>
      <c r="G990" s="388"/>
    </row>
    <row r="991" spans="1:7" ht="41.4">
      <c r="A991" s="385">
        <v>330301</v>
      </c>
      <c r="B991" s="386" t="s">
        <v>2990</v>
      </c>
      <c r="C991" s="386" t="s">
        <v>335</v>
      </c>
      <c r="D991" s="387">
        <v>41500</v>
      </c>
      <c r="G991" s="388"/>
    </row>
    <row r="992" spans="1:7" ht="55.2">
      <c r="A992" s="385">
        <v>330401</v>
      </c>
      <c r="B992" s="386" t="s">
        <v>2991</v>
      </c>
      <c r="C992" s="386" t="s">
        <v>335</v>
      </c>
      <c r="D992" s="387">
        <v>31600</v>
      </c>
      <c r="G992" s="388"/>
    </row>
    <row r="993" spans="1:7" ht="41.4">
      <c r="A993" s="385">
        <v>330501</v>
      </c>
      <c r="B993" s="386" t="s">
        <v>2992</v>
      </c>
      <c r="C993" s="386" t="s">
        <v>2554</v>
      </c>
      <c r="D993" s="387">
        <v>728000</v>
      </c>
      <c r="G993" s="388"/>
    </row>
    <row r="994" spans="1:7" ht="27.6">
      <c r="A994" s="385">
        <v>330601</v>
      </c>
      <c r="B994" s="386" t="s">
        <v>2993</v>
      </c>
      <c r="C994" s="386" t="s">
        <v>206</v>
      </c>
      <c r="D994" s="387">
        <v>2971000</v>
      </c>
      <c r="G994" s="388"/>
    </row>
    <row r="995" spans="1:7" ht="27.6">
      <c r="A995" s="385">
        <v>330602</v>
      </c>
      <c r="B995" s="386" t="s">
        <v>2994</v>
      </c>
      <c r="C995" s="386" t="s">
        <v>206</v>
      </c>
      <c r="D995" s="387">
        <v>7292000</v>
      </c>
      <c r="G995" s="388"/>
    </row>
    <row r="996" spans="1:7" ht="27.6">
      <c r="A996" s="385">
        <v>330603</v>
      </c>
      <c r="B996" s="386" t="s">
        <v>2995</v>
      </c>
      <c r="C996" s="386" t="s">
        <v>206</v>
      </c>
      <c r="D996" s="387">
        <v>12381000</v>
      </c>
      <c r="G996" s="388"/>
    </row>
    <row r="997" spans="1:7" ht="27.6">
      <c r="A997" s="385">
        <v>330604</v>
      </c>
      <c r="B997" s="386" t="s">
        <v>2996</v>
      </c>
      <c r="C997" s="386" t="s">
        <v>206</v>
      </c>
      <c r="D997" s="387">
        <v>20244000</v>
      </c>
      <c r="G997" s="388"/>
    </row>
    <row r="998" spans="1:7" ht="27.6">
      <c r="A998" s="385">
        <v>330605</v>
      </c>
      <c r="B998" s="386" t="s">
        <v>2997</v>
      </c>
      <c r="C998" s="386" t="s">
        <v>206</v>
      </c>
      <c r="D998" s="387">
        <v>41933000</v>
      </c>
      <c r="G998" s="388"/>
    </row>
    <row r="999" spans="1:7" ht="27.6">
      <c r="A999" s="385">
        <v>330606</v>
      </c>
      <c r="B999" s="386" t="s">
        <v>2998</v>
      </c>
      <c r="C999" s="386" t="s">
        <v>206</v>
      </c>
      <c r="D999" s="387">
        <v>56659000</v>
      </c>
      <c r="G999" s="388"/>
    </row>
    <row r="1000" spans="1:7" ht="27.6">
      <c r="A1000" s="385">
        <v>330607</v>
      </c>
      <c r="B1000" s="386" t="s">
        <v>2999</v>
      </c>
      <c r="C1000" s="386" t="s">
        <v>206</v>
      </c>
      <c r="D1000" s="387">
        <v>68181000</v>
      </c>
      <c r="G1000" s="388"/>
    </row>
    <row r="1001" spans="1:7" ht="27.6">
      <c r="A1001" s="385">
        <v>330608</v>
      </c>
      <c r="B1001" s="386" t="s">
        <v>3000</v>
      </c>
      <c r="C1001" s="386" t="s">
        <v>206</v>
      </c>
      <c r="D1001" s="387">
        <v>82179000</v>
      </c>
      <c r="G1001" s="388"/>
    </row>
    <row r="1002" spans="1:7" ht="27.6">
      <c r="A1002" s="385">
        <v>330609</v>
      </c>
      <c r="B1002" s="386" t="s">
        <v>3001</v>
      </c>
      <c r="C1002" s="386" t="s">
        <v>206</v>
      </c>
      <c r="D1002" s="387">
        <v>107759000</v>
      </c>
      <c r="G1002" s="388"/>
    </row>
    <row r="1003" spans="1:7" ht="55.2">
      <c r="A1003" s="385">
        <v>340101</v>
      </c>
      <c r="B1003" s="386" t="s">
        <v>3002</v>
      </c>
      <c r="C1003" s="386" t="s">
        <v>335</v>
      </c>
      <c r="D1003" s="387">
        <v>46300</v>
      </c>
      <c r="G1003" s="388"/>
    </row>
    <row r="1004" spans="1:7" ht="41.4">
      <c r="A1004" s="385">
        <v>340201</v>
      </c>
      <c r="B1004" s="386" t="s">
        <v>3003</v>
      </c>
      <c r="C1004" s="386" t="s">
        <v>335</v>
      </c>
      <c r="D1004" s="387">
        <v>132000</v>
      </c>
      <c r="G1004" s="388"/>
    </row>
    <row r="1005" spans="1:7" ht="41.4">
      <c r="A1005" s="385">
        <v>340501</v>
      </c>
      <c r="B1005" s="386" t="s">
        <v>3004</v>
      </c>
      <c r="C1005" s="386" t="s">
        <v>335</v>
      </c>
      <c r="D1005" s="387">
        <v>65400</v>
      </c>
      <c r="G1005" s="388"/>
    </row>
    <row r="1006" spans="1:7" ht="15.6">
      <c r="A1006" s="385">
        <v>410101</v>
      </c>
      <c r="B1006" s="386" t="s">
        <v>3005</v>
      </c>
      <c r="C1006" s="386" t="s">
        <v>335</v>
      </c>
      <c r="D1006" s="387">
        <v>18000</v>
      </c>
      <c r="G1006" s="388"/>
    </row>
    <row r="1007" spans="1:7" ht="15.6">
      <c r="A1007" s="385">
        <v>410201</v>
      </c>
      <c r="B1007" s="386" t="s">
        <v>3006</v>
      </c>
      <c r="C1007" s="386" t="s">
        <v>335</v>
      </c>
      <c r="D1007" s="387">
        <v>23800</v>
      </c>
      <c r="G1007" s="388"/>
    </row>
    <row r="1008" spans="1:7" ht="15.6">
      <c r="A1008" s="385">
        <v>410301</v>
      </c>
      <c r="B1008" s="386" t="s">
        <v>3007</v>
      </c>
      <c r="C1008" s="386" t="s">
        <v>335</v>
      </c>
      <c r="D1008" s="387">
        <v>27500</v>
      </c>
      <c r="G1008" s="388"/>
    </row>
    <row r="1009" spans="1:7" ht="15.6">
      <c r="A1009" s="385">
        <v>410401</v>
      </c>
      <c r="B1009" s="386" t="s">
        <v>3008</v>
      </c>
      <c r="C1009" s="386" t="s">
        <v>335</v>
      </c>
      <c r="D1009" s="387">
        <v>35600</v>
      </c>
      <c r="G1009" s="388"/>
    </row>
    <row r="1010" spans="1:7" ht="15.6">
      <c r="A1010" s="385">
        <v>410402</v>
      </c>
      <c r="B1010" s="386" t="s">
        <v>3009</v>
      </c>
      <c r="C1010" s="386" t="s">
        <v>335</v>
      </c>
      <c r="D1010" s="387">
        <v>53200</v>
      </c>
      <c r="G1010" s="388"/>
    </row>
    <row r="1011" spans="1:7" ht="15.6">
      <c r="A1011" s="385">
        <v>410601</v>
      </c>
      <c r="B1011" s="386" t="s">
        <v>3010</v>
      </c>
      <c r="C1011" s="386" t="s">
        <v>335</v>
      </c>
      <c r="D1011" s="387">
        <v>40900</v>
      </c>
      <c r="G1011" s="388"/>
    </row>
    <row r="1012" spans="1:7" ht="15.6">
      <c r="A1012" s="385">
        <v>410602</v>
      </c>
      <c r="B1012" s="386" t="s">
        <v>3011</v>
      </c>
      <c r="C1012" s="386" t="s">
        <v>335</v>
      </c>
      <c r="D1012" s="387">
        <v>60400</v>
      </c>
      <c r="G1012" s="388"/>
    </row>
    <row r="1013" spans="1:7" ht="15.6">
      <c r="A1013" s="385">
        <v>410901</v>
      </c>
      <c r="B1013" s="386" t="s">
        <v>3012</v>
      </c>
      <c r="C1013" s="386" t="s">
        <v>335</v>
      </c>
      <c r="D1013" s="387"/>
      <c r="G1013" s="388"/>
    </row>
    <row r="1014" spans="1:7" ht="15.6">
      <c r="A1014" s="385">
        <v>411001</v>
      </c>
      <c r="B1014" s="386" t="s">
        <v>3013</v>
      </c>
      <c r="C1014" s="386" t="s">
        <v>335</v>
      </c>
      <c r="D1014" s="387"/>
      <c r="G1014" s="388"/>
    </row>
    <row r="1015" spans="1:7" ht="15.6">
      <c r="A1015" s="385">
        <v>411101</v>
      </c>
      <c r="B1015" s="386" t="s">
        <v>3014</v>
      </c>
      <c r="C1015" s="386" t="s">
        <v>335</v>
      </c>
      <c r="D1015" s="387">
        <v>203000</v>
      </c>
      <c r="G1015" s="388"/>
    </row>
    <row r="1016" spans="1:7" ht="27.6">
      <c r="A1016" s="385">
        <v>411301</v>
      </c>
      <c r="B1016" s="386" t="s">
        <v>3015</v>
      </c>
      <c r="C1016" s="386" t="s">
        <v>2449</v>
      </c>
      <c r="D1016" s="387">
        <v>137500</v>
      </c>
      <c r="G1016" s="388"/>
    </row>
    <row r="1017" spans="1:7" ht="27.6">
      <c r="A1017" s="385">
        <v>411401</v>
      </c>
      <c r="B1017" s="386" t="s">
        <v>3016</v>
      </c>
      <c r="C1017" s="386" t="s">
        <v>2449</v>
      </c>
      <c r="D1017" s="387">
        <v>212000</v>
      </c>
      <c r="G1017" s="388"/>
    </row>
    <row r="1018" spans="1:7" ht="15.6">
      <c r="A1018" s="385">
        <v>411501</v>
      </c>
      <c r="B1018" s="386" t="s">
        <v>3017</v>
      </c>
      <c r="C1018" s="386" t="s">
        <v>335</v>
      </c>
      <c r="D1018" s="387">
        <v>20600</v>
      </c>
      <c r="G1018" s="388"/>
    </row>
    <row r="1019" spans="1:7" ht="15.6">
      <c r="A1019" s="385">
        <v>411601</v>
      </c>
      <c r="B1019" s="386" t="s">
        <v>3018</v>
      </c>
      <c r="C1019" s="386" t="s">
        <v>15</v>
      </c>
      <c r="D1019" s="387">
        <v>13100</v>
      </c>
      <c r="G1019" s="388"/>
    </row>
    <row r="1020" spans="1:7" ht="15.6">
      <c r="A1020" s="385">
        <v>411602</v>
      </c>
      <c r="B1020" s="386" t="s">
        <v>3019</v>
      </c>
      <c r="C1020" s="386" t="s">
        <v>15</v>
      </c>
      <c r="D1020" s="387">
        <v>21700</v>
      </c>
      <c r="G1020" s="388"/>
    </row>
    <row r="1021" spans="1:7" ht="15.6">
      <c r="A1021" s="385">
        <v>420101</v>
      </c>
      <c r="B1021" s="386" t="s">
        <v>1714</v>
      </c>
      <c r="C1021" s="386" t="s">
        <v>1715</v>
      </c>
      <c r="D1021" s="387">
        <v>0</v>
      </c>
      <c r="G1021" s="388"/>
    </row>
    <row r="1022" spans="1:7" ht="15.6">
      <c r="A1022" s="385">
        <v>420102</v>
      </c>
      <c r="B1022" s="386" t="s">
        <v>1716</v>
      </c>
      <c r="C1022" s="386" t="s">
        <v>1715</v>
      </c>
      <c r="D1022" s="387">
        <v>0</v>
      </c>
      <c r="G1022" s="388"/>
    </row>
    <row r="1023" spans="1:7" ht="15.6">
      <c r="A1023" s="385">
        <v>420103</v>
      </c>
      <c r="B1023" s="386" t="s">
        <v>1717</v>
      </c>
      <c r="C1023" s="386" t="s">
        <v>1715</v>
      </c>
      <c r="D1023" s="387">
        <v>0</v>
      </c>
      <c r="G1023" s="388"/>
    </row>
    <row r="1024" spans="1:7" ht="15.6">
      <c r="A1024" s="385">
        <v>420201</v>
      </c>
      <c r="B1024" s="386" t="s">
        <v>1718</v>
      </c>
      <c r="C1024" s="386" t="s">
        <v>1715</v>
      </c>
      <c r="D1024" s="387">
        <v>0</v>
      </c>
      <c r="G1024" s="388"/>
    </row>
    <row r="1025" spans="1:7" ht="15.6">
      <c r="A1025" s="385">
        <v>420202</v>
      </c>
      <c r="B1025" s="386" t="s">
        <v>1719</v>
      </c>
      <c r="C1025" s="386" t="s">
        <v>1715</v>
      </c>
      <c r="D1025" s="387">
        <v>0</v>
      </c>
      <c r="G1025" s="388"/>
    </row>
    <row r="1026" spans="1:7" ht="27.6">
      <c r="A1026" s="385">
        <v>420301</v>
      </c>
      <c r="B1026" s="386" t="s">
        <v>1720</v>
      </c>
      <c r="C1026" s="386" t="s">
        <v>1715</v>
      </c>
      <c r="D1026" s="387">
        <v>0</v>
      </c>
      <c r="G1026" s="388"/>
    </row>
    <row r="1027" spans="1:7" ht="27.6">
      <c r="A1027" s="385">
        <v>420302</v>
      </c>
      <c r="B1027" s="386" t="s">
        <v>1721</v>
      </c>
      <c r="C1027" s="386" t="s">
        <v>1715</v>
      </c>
      <c r="D1027" s="387">
        <v>0</v>
      </c>
      <c r="G1027" s="388"/>
    </row>
    <row r="1028" spans="1:7" ht="27.6">
      <c r="A1028" s="385">
        <v>420303</v>
      </c>
      <c r="B1028" s="386" t="s">
        <v>1722</v>
      </c>
      <c r="C1028" s="386" t="s">
        <v>1715</v>
      </c>
      <c r="D1028" s="387">
        <v>0</v>
      </c>
      <c r="G1028" s="388"/>
    </row>
    <row r="1029" spans="1:7" ht="27.6">
      <c r="A1029" s="385">
        <v>420304</v>
      </c>
      <c r="B1029" s="386" t="s">
        <v>1723</v>
      </c>
      <c r="C1029" s="386" t="s">
        <v>1715</v>
      </c>
      <c r="D1029" s="387">
        <v>0</v>
      </c>
      <c r="G1029" s="388"/>
    </row>
    <row r="1030" spans="1:7" ht="27.6">
      <c r="A1030" s="385">
        <v>420305</v>
      </c>
      <c r="B1030" s="386" t="s">
        <v>1724</v>
      </c>
      <c r="C1030" s="386" t="s">
        <v>1715</v>
      </c>
      <c r="D1030" s="387">
        <v>0</v>
      </c>
      <c r="G1030" s="388"/>
    </row>
    <row r="1031" spans="1:7" ht="27.6">
      <c r="A1031" s="385">
        <v>420306</v>
      </c>
      <c r="B1031" s="386" t="s">
        <v>1725</v>
      </c>
      <c r="C1031" s="386" t="s">
        <v>1715</v>
      </c>
      <c r="D1031" s="387">
        <v>0</v>
      </c>
      <c r="G1031" s="388"/>
    </row>
    <row r="1032" spans="1:7" ht="27.6">
      <c r="A1032" s="385">
        <v>420401</v>
      </c>
      <c r="B1032" s="386" t="s">
        <v>1726</v>
      </c>
      <c r="C1032" s="386" t="s">
        <v>1715</v>
      </c>
      <c r="D1032" s="387">
        <v>0</v>
      </c>
      <c r="G1032" s="388"/>
    </row>
    <row r="1033" spans="1:7" ht="15.6">
      <c r="A1033" s="385">
        <v>420402</v>
      </c>
      <c r="B1033" s="386" t="s">
        <v>1727</v>
      </c>
      <c r="C1033" s="386" t="s">
        <v>1715</v>
      </c>
      <c r="D1033" s="387">
        <v>0</v>
      </c>
      <c r="G1033" s="388"/>
    </row>
    <row r="1034" spans="1:7" ht="27.6">
      <c r="A1034" s="385">
        <v>420403</v>
      </c>
      <c r="B1034" s="386" t="s">
        <v>1728</v>
      </c>
      <c r="C1034" s="386" t="s">
        <v>1715</v>
      </c>
      <c r="D1034" s="387">
        <v>0</v>
      </c>
      <c r="G1034" s="388"/>
    </row>
    <row r="1035" spans="1:7" ht="15.6">
      <c r="A1035" s="385">
        <v>420404</v>
      </c>
      <c r="B1035" s="386" t="s">
        <v>1729</v>
      </c>
      <c r="C1035" s="386" t="s">
        <v>1715</v>
      </c>
      <c r="D1035" s="387">
        <v>0</v>
      </c>
      <c r="G1035" s="388"/>
    </row>
    <row r="1036" spans="1:7" ht="15.6">
      <c r="A1036" s="385">
        <v>420501</v>
      </c>
      <c r="B1036" s="386" t="s">
        <v>1730</v>
      </c>
      <c r="C1036" s="386" t="s">
        <v>1715</v>
      </c>
      <c r="D1036" s="387">
        <v>0</v>
      </c>
      <c r="G1036" s="388"/>
    </row>
    <row r="1037" spans="1:7" ht="15.6">
      <c r="A1037" s="385">
        <v>420601</v>
      </c>
      <c r="B1037" s="386" t="s">
        <v>1731</v>
      </c>
      <c r="C1037" s="386" t="s">
        <v>1715</v>
      </c>
      <c r="D1037" s="387">
        <v>0</v>
      </c>
      <c r="G1037" s="388"/>
    </row>
    <row r="1038" spans="1:7" ht="15.6">
      <c r="A1038" s="385">
        <v>420602</v>
      </c>
      <c r="B1038" s="386" t="s">
        <v>1732</v>
      </c>
      <c r="C1038" s="386" t="s">
        <v>1715</v>
      </c>
      <c r="D1038" s="387">
        <v>0</v>
      </c>
      <c r="G1038" s="388"/>
    </row>
    <row r="1039" spans="1:7" ht="15.6">
      <c r="A1039" s="385">
        <v>420603</v>
      </c>
      <c r="B1039" s="386" t="s">
        <v>1733</v>
      </c>
      <c r="C1039" s="386" t="s">
        <v>1715</v>
      </c>
      <c r="D1039" s="387">
        <v>0</v>
      </c>
      <c r="G1039" s="388"/>
    </row>
    <row r="1040" spans="1:7" ht="15.6">
      <c r="A1040" s="385">
        <v>420604</v>
      </c>
      <c r="B1040" s="386" t="s">
        <v>1734</v>
      </c>
      <c r="C1040" s="386" t="s">
        <v>1715</v>
      </c>
      <c r="D1040" s="387">
        <v>0</v>
      </c>
      <c r="G1040" s="388"/>
    </row>
    <row r="1041" spans="1:7" ht="15.6">
      <c r="A1041" s="385">
        <v>420605</v>
      </c>
      <c r="B1041" s="386" t="s">
        <v>1735</v>
      </c>
      <c r="C1041" s="386" t="s">
        <v>1715</v>
      </c>
      <c r="D1041" s="387">
        <v>0</v>
      </c>
      <c r="G1041" s="388"/>
    </row>
    <row r="1042" spans="1:7" ht="15.6">
      <c r="A1042" s="385">
        <v>420701</v>
      </c>
      <c r="B1042" s="386" t="s">
        <v>1736</v>
      </c>
      <c r="C1042" s="386" t="s">
        <v>1715</v>
      </c>
      <c r="D1042" s="387">
        <v>0</v>
      </c>
      <c r="G1042" s="388"/>
    </row>
    <row r="1043" spans="1:7" ht="15.6">
      <c r="A1043" s="385">
        <v>420702</v>
      </c>
      <c r="B1043" s="386" t="s">
        <v>1737</v>
      </c>
      <c r="C1043" s="386" t="s">
        <v>1715</v>
      </c>
      <c r="D1043" s="387">
        <v>0</v>
      </c>
      <c r="G1043" s="388"/>
    </row>
    <row r="1044" spans="1:7" ht="15.6">
      <c r="A1044" s="385">
        <v>420703</v>
      </c>
      <c r="B1044" s="386" t="s">
        <v>1738</v>
      </c>
      <c r="C1044" s="386" t="s">
        <v>1715</v>
      </c>
      <c r="D1044" s="387">
        <v>0</v>
      </c>
      <c r="G1044" s="388"/>
    </row>
    <row r="1045" spans="1:7" ht="15.6">
      <c r="A1045" s="385">
        <v>420801</v>
      </c>
      <c r="B1045" s="386" t="s">
        <v>1739</v>
      </c>
      <c r="C1045" s="386" t="s">
        <v>1715</v>
      </c>
      <c r="D1045" s="387">
        <v>0</v>
      </c>
      <c r="G1045" s="388"/>
    </row>
    <row r="1046" spans="1:7" ht="27.6">
      <c r="A1046" s="385">
        <v>420901</v>
      </c>
      <c r="B1046" s="386" t="s">
        <v>1740</v>
      </c>
      <c r="C1046" s="386" t="s">
        <v>1715</v>
      </c>
      <c r="D1046" s="387">
        <v>0</v>
      </c>
      <c r="G1046" s="388"/>
    </row>
    <row r="1047" spans="1:7" ht="27.6">
      <c r="A1047" s="385">
        <v>420902</v>
      </c>
      <c r="B1047" s="386" t="s">
        <v>1741</v>
      </c>
      <c r="C1047" s="386" t="s">
        <v>1715</v>
      </c>
      <c r="D1047" s="387">
        <v>0</v>
      </c>
      <c r="G1047" s="388"/>
    </row>
    <row r="1048" spans="1:7" ht="15.6">
      <c r="A1048" s="385">
        <v>420903</v>
      </c>
      <c r="B1048" s="386" t="s">
        <v>1742</v>
      </c>
      <c r="C1048" s="386" t="s">
        <v>1715</v>
      </c>
      <c r="D1048" s="387">
        <v>0</v>
      </c>
      <c r="G1048" s="388"/>
    </row>
    <row r="1049" spans="1:7" ht="27.6">
      <c r="A1049" s="385">
        <v>421001</v>
      </c>
      <c r="B1049" s="386" t="s">
        <v>1743</v>
      </c>
      <c r="C1049" s="386" t="s">
        <v>1715</v>
      </c>
      <c r="D1049" s="387">
        <v>0</v>
      </c>
      <c r="G1049" s="388"/>
    </row>
    <row r="1050" spans="1:7" ht="27.6">
      <c r="A1050" s="385">
        <v>421002</v>
      </c>
      <c r="B1050" s="386" t="s">
        <v>1744</v>
      </c>
      <c r="C1050" s="386" t="s">
        <v>1715</v>
      </c>
      <c r="D1050" s="387">
        <v>0</v>
      </c>
      <c r="G1050" s="388"/>
    </row>
    <row r="1051" spans="1:7" ht="27.6">
      <c r="A1051" s="385">
        <v>421003</v>
      </c>
      <c r="B1051" s="386" t="s">
        <v>1745</v>
      </c>
      <c r="C1051" s="386" t="s">
        <v>1715</v>
      </c>
      <c r="D1051" s="387">
        <v>0</v>
      </c>
      <c r="G1051" s="388"/>
    </row>
    <row r="1052" spans="1:7" ht="27.6">
      <c r="A1052" s="385">
        <v>421004</v>
      </c>
      <c r="B1052" s="386" t="s">
        <v>1746</v>
      </c>
      <c r="C1052" s="386" t="s">
        <v>1715</v>
      </c>
      <c r="D1052" s="387">
        <v>0</v>
      </c>
      <c r="G1052" s="388"/>
    </row>
    <row r="1053" spans="1:7" ht="15.6">
      <c r="A1053" s="385">
        <v>421005</v>
      </c>
      <c r="B1053" s="386" t="s">
        <v>1747</v>
      </c>
      <c r="C1053" s="386" t="s">
        <v>1715</v>
      </c>
      <c r="D1053" s="387">
        <v>0</v>
      </c>
      <c r="G1053" s="388"/>
    </row>
    <row r="1054" spans="1:7" ht="27.6">
      <c r="A1054" s="385">
        <v>421006</v>
      </c>
      <c r="B1054" s="386" t="s">
        <v>1748</v>
      </c>
      <c r="C1054" s="386" t="s">
        <v>1715</v>
      </c>
      <c r="D1054" s="387">
        <v>0</v>
      </c>
      <c r="G1054" s="388"/>
    </row>
    <row r="1055" spans="1:7" ht="27.6">
      <c r="A1055" s="385">
        <v>421007</v>
      </c>
      <c r="B1055" s="386" t="s">
        <v>1749</v>
      </c>
      <c r="C1055" s="386" t="s">
        <v>1715</v>
      </c>
      <c r="D1055" s="387">
        <v>0</v>
      </c>
      <c r="G1055" s="388"/>
    </row>
    <row r="1056" spans="1:7" ht="41.4">
      <c r="A1056" s="385">
        <v>421101</v>
      </c>
      <c r="B1056" s="386" t="s">
        <v>1750</v>
      </c>
      <c r="C1056" s="386" t="s">
        <v>1715</v>
      </c>
      <c r="D1056" s="387">
        <v>0</v>
      </c>
      <c r="G1056" s="388"/>
    </row>
    <row r="1057" spans="1:7" ht="41.4">
      <c r="A1057" s="385">
        <v>421102</v>
      </c>
      <c r="B1057" s="386" t="s">
        <v>1751</v>
      </c>
      <c r="C1057" s="386" t="s">
        <v>1715</v>
      </c>
      <c r="D1057" s="387">
        <v>0</v>
      </c>
      <c r="G1057" s="388"/>
    </row>
    <row r="1058" spans="1:7" ht="41.4">
      <c r="A1058" s="385">
        <v>421103</v>
      </c>
      <c r="B1058" s="386" t="s">
        <v>1752</v>
      </c>
      <c r="C1058" s="386" t="s">
        <v>1715</v>
      </c>
      <c r="D1058" s="387">
        <v>0</v>
      </c>
      <c r="G1058" s="388"/>
    </row>
    <row r="1059" spans="1:7" ht="27.6">
      <c r="A1059" s="385">
        <v>421104</v>
      </c>
      <c r="B1059" s="386" t="s">
        <v>1753</v>
      </c>
      <c r="C1059" s="386" t="s">
        <v>1715</v>
      </c>
      <c r="D1059" s="387">
        <v>0</v>
      </c>
      <c r="G1059" s="388"/>
    </row>
    <row r="1060" spans="1:7" ht="15.6">
      <c r="A1060" s="385">
        <v>421201</v>
      </c>
      <c r="B1060" s="386" t="s">
        <v>1754</v>
      </c>
      <c r="C1060" s="386" t="s">
        <v>1715</v>
      </c>
      <c r="D1060" s="387">
        <v>0</v>
      </c>
      <c r="G1060" s="388"/>
    </row>
    <row r="1061" spans="1:7" ht="15.6">
      <c r="A1061" s="385">
        <v>421301</v>
      </c>
      <c r="B1061" s="386" t="s">
        <v>1755</v>
      </c>
      <c r="C1061" s="386" t="s">
        <v>1715</v>
      </c>
      <c r="D1061" s="387">
        <v>0</v>
      </c>
      <c r="G1061" s="388"/>
    </row>
    <row r="1062" spans="1:7" ht="15.6">
      <c r="A1062" s="385">
        <v>421302</v>
      </c>
      <c r="B1062" s="386" t="s">
        <v>1756</v>
      </c>
      <c r="C1062" s="386" t="s">
        <v>1715</v>
      </c>
      <c r="D1062" s="387">
        <v>0</v>
      </c>
      <c r="G1062" s="388"/>
    </row>
    <row r="1063" spans="1:7">
      <c r="A1063" s="385"/>
    </row>
    <row r="1064" spans="1:7">
      <c r="A1064" s="385"/>
    </row>
    <row r="1065" spans="1:7">
      <c r="A1065" s="385"/>
    </row>
    <row r="1066" spans="1:7">
      <c r="A1066" s="385"/>
    </row>
    <row r="1067" spans="1:7">
      <c r="A1067" s="385"/>
    </row>
    <row r="1068" spans="1:7">
      <c r="A1068" s="385"/>
    </row>
    <row r="1069" spans="1:7">
      <c r="A1069" s="385"/>
    </row>
    <row r="1070" spans="1:7">
      <c r="A1070" s="385"/>
    </row>
    <row r="1071" spans="1:7">
      <c r="A1071" s="385"/>
    </row>
    <row r="1072" spans="1:7">
      <c r="A1072" s="385"/>
    </row>
    <row r="1073" spans="1:1">
      <c r="A1073" s="385"/>
    </row>
    <row r="1074" spans="1:1">
      <c r="A1074" s="385"/>
    </row>
    <row r="1075" spans="1:1">
      <c r="A1075" s="385"/>
    </row>
    <row r="1076" spans="1:1">
      <c r="A1076" s="385"/>
    </row>
    <row r="1077" spans="1:1">
      <c r="A1077" s="385"/>
    </row>
    <row r="1078" spans="1:1">
      <c r="A1078" s="385"/>
    </row>
    <row r="1079" spans="1:1">
      <c r="A1079" s="385"/>
    </row>
    <row r="1080" spans="1:1">
      <c r="A1080" s="385"/>
    </row>
    <row r="1081" spans="1:1">
      <c r="A1081" s="385"/>
    </row>
    <row r="1082" spans="1:1">
      <c r="A1082" s="385"/>
    </row>
    <row r="1083" spans="1:1">
      <c r="A1083" s="385"/>
    </row>
    <row r="1084" spans="1:1">
      <c r="A1084" s="385"/>
    </row>
    <row r="1085" spans="1:1">
      <c r="A1085" s="385"/>
    </row>
    <row r="1086" spans="1:1">
      <c r="A1086" s="385"/>
    </row>
    <row r="1087" spans="1:1">
      <c r="A1087" s="385"/>
    </row>
    <row r="1088" spans="1:1">
      <c r="A1088" s="385"/>
    </row>
    <row r="1089" spans="1:1">
      <c r="A1089" s="385"/>
    </row>
    <row r="1090" spans="1:1">
      <c r="A1090" s="385"/>
    </row>
    <row r="1091" spans="1:1">
      <c r="A1091" s="385"/>
    </row>
    <row r="1092" spans="1:1">
      <c r="A1092" s="385"/>
    </row>
    <row r="1093" spans="1:1">
      <c r="A1093" s="385"/>
    </row>
    <row r="1094" spans="1:1">
      <c r="A1094" s="385"/>
    </row>
    <row r="1095" spans="1:1">
      <c r="A1095" s="385"/>
    </row>
    <row r="1096" spans="1:1">
      <c r="A1096" s="385"/>
    </row>
    <row r="1097" spans="1:1">
      <c r="A1097" s="385"/>
    </row>
    <row r="1098" spans="1:1">
      <c r="A1098" s="385"/>
    </row>
    <row r="1099" spans="1:1">
      <c r="A1099" s="385"/>
    </row>
    <row r="1100" spans="1:1">
      <c r="A1100" s="385"/>
    </row>
    <row r="1101" spans="1:1">
      <c r="A1101" s="385"/>
    </row>
    <row r="1102" spans="1:1">
      <c r="A1102" s="385"/>
    </row>
    <row r="1103" spans="1:1">
      <c r="A1103" s="385"/>
    </row>
    <row r="1104" spans="1:1">
      <c r="A1104" s="385"/>
    </row>
    <row r="1105" spans="1:1">
      <c r="A1105" s="385"/>
    </row>
    <row r="1106" spans="1:1">
      <c r="A1106" s="385"/>
    </row>
    <row r="1107" spans="1:1">
      <c r="A1107" s="385"/>
    </row>
    <row r="1108" spans="1:1">
      <c r="A1108" s="385"/>
    </row>
    <row r="1109" spans="1:1">
      <c r="A1109" s="385"/>
    </row>
    <row r="1110" spans="1:1">
      <c r="A1110" s="385"/>
    </row>
    <row r="1111" spans="1:1">
      <c r="A1111" s="385"/>
    </row>
    <row r="1112" spans="1:1">
      <c r="A1112" s="385"/>
    </row>
    <row r="1113" spans="1:1">
      <c r="A1113" s="385"/>
    </row>
    <row r="1114" spans="1:1">
      <c r="A1114" s="385"/>
    </row>
    <row r="1115" spans="1:1">
      <c r="A1115" s="385"/>
    </row>
    <row r="1116" spans="1:1">
      <c r="A1116" s="385"/>
    </row>
    <row r="1117" spans="1:1">
      <c r="A1117" s="385"/>
    </row>
    <row r="1118" spans="1:1">
      <c r="A1118" s="385"/>
    </row>
    <row r="1119" spans="1:1">
      <c r="A1119" s="385"/>
    </row>
    <row r="1120" spans="1:1">
      <c r="A1120" s="385"/>
    </row>
    <row r="1121" spans="1:1">
      <c r="A1121" s="385"/>
    </row>
    <row r="1122" spans="1:1">
      <c r="A1122" s="385"/>
    </row>
    <row r="1123" spans="1:1">
      <c r="A1123" s="385"/>
    </row>
    <row r="1124" spans="1:1">
      <c r="A1124" s="385"/>
    </row>
    <row r="1125" spans="1:1">
      <c r="A1125" s="385"/>
    </row>
    <row r="1126" spans="1:1">
      <c r="A1126" s="385"/>
    </row>
    <row r="1127" spans="1:1">
      <c r="A1127" s="385"/>
    </row>
    <row r="1128" spans="1:1">
      <c r="A1128" s="385"/>
    </row>
    <row r="1129" spans="1:1">
      <c r="A1129" s="385"/>
    </row>
    <row r="1130" spans="1:1">
      <c r="A1130" s="385"/>
    </row>
    <row r="1131" spans="1:1">
      <c r="A1131" s="385"/>
    </row>
    <row r="1132" spans="1:1">
      <c r="A1132" s="385"/>
    </row>
    <row r="1133" spans="1:1">
      <c r="A1133" s="385"/>
    </row>
    <row r="1134" spans="1:1">
      <c r="A1134" s="385"/>
    </row>
    <row r="1135" spans="1:1">
      <c r="A1135" s="385"/>
    </row>
    <row r="1136" spans="1:1">
      <c r="A1136" s="385"/>
    </row>
    <row r="1137" spans="1:1">
      <c r="A1137" s="385"/>
    </row>
    <row r="1138" spans="1:1">
      <c r="A1138" s="385"/>
    </row>
    <row r="1139" spans="1:1">
      <c r="A1139" s="385"/>
    </row>
    <row r="1140" spans="1:1">
      <c r="A1140" s="385"/>
    </row>
    <row r="1141" spans="1:1">
      <c r="A1141" s="385"/>
    </row>
    <row r="1142" spans="1:1">
      <c r="A1142" s="385"/>
    </row>
    <row r="1143" spans="1:1">
      <c r="A1143" s="385"/>
    </row>
    <row r="1144" spans="1:1">
      <c r="A1144" s="385"/>
    </row>
    <row r="1145" spans="1:1">
      <c r="A1145" s="385"/>
    </row>
    <row r="1146" spans="1:1">
      <c r="A1146" s="385"/>
    </row>
    <row r="1147" spans="1:1">
      <c r="A1147" s="385"/>
    </row>
    <row r="1148" spans="1:1">
      <c r="A1148" s="385"/>
    </row>
    <row r="1149" spans="1:1">
      <c r="A1149" s="385"/>
    </row>
    <row r="1150" spans="1:1">
      <c r="A1150" s="385"/>
    </row>
    <row r="1151" spans="1:1">
      <c r="A1151" s="385"/>
    </row>
    <row r="1152" spans="1:1">
      <c r="A1152" s="385"/>
    </row>
    <row r="1153" spans="1:1">
      <c r="A1153" s="385"/>
    </row>
    <row r="1154" spans="1:1">
      <c r="A1154" s="385"/>
    </row>
    <row r="1155" spans="1:1">
      <c r="A1155" s="385"/>
    </row>
    <row r="1156" spans="1:1">
      <c r="A1156" s="385"/>
    </row>
    <row r="1157" spans="1:1">
      <c r="A1157" s="385"/>
    </row>
    <row r="1158" spans="1:1">
      <c r="A1158" s="385"/>
    </row>
    <row r="1159" spans="1:1">
      <c r="A1159" s="385"/>
    </row>
    <row r="1160" spans="1:1">
      <c r="A1160" s="385"/>
    </row>
    <row r="1161" spans="1:1">
      <c r="A1161" s="385"/>
    </row>
    <row r="1162" spans="1:1">
      <c r="A1162" s="385"/>
    </row>
    <row r="1163" spans="1:1">
      <c r="A1163" s="385"/>
    </row>
    <row r="1164" spans="1:1">
      <c r="A1164" s="385"/>
    </row>
    <row r="1165" spans="1:1">
      <c r="A1165" s="385"/>
    </row>
    <row r="1166" spans="1:1">
      <c r="A1166" s="385"/>
    </row>
    <row r="1167" spans="1:1">
      <c r="A1167" s="385"/>
    </row>
    <row r="1168" spans="1:1">
      <c r="A1168" s="385"/>
    </row>
    <row r="1169" spans="1:1">
      <c r="A1169" s="385"/>
    </row>
    <row r="1170" spans="1:1">
      <c r="A1170" s="385"/>
    </row>
    <row r="1171" spans="1:1">
      <c r="A1171" s="385"/>
    </row>
    <row r="1172" spans="1:1">
      <c r="A1172" s="385"/>
    </row>
    <row r="1173" spans="1:1">
      <c r="A1173" s="385"/>
    </row>
    <row r="1174" spans="1:1">
      <c r="A1174" s="385"/>
    </row>
    <row r="1175" spans="1:1">
      <c r="A1175" s="385"/>
    </row>
    <row r="1176" spans="1:1">
      <c r="A1176" s="385"/>
    </row>
    <row r="1177" spans="1:1">
      <c r="A1177" s="385"/>
    </row>
    <row r="1178" spans="1:1">
      <c r="A1178" s="385"/>
    </row>
    <row r="1179" spans="1:1">
      <c r="A1179" s="385"/>
    </row>
    <row r="1180" spans="1:1">
      <c r="A1180" s="385"/>
    </row>
    <row r="1181" spans="1:1">
      <c r="A1181" s="385"/>
    </row>
    <row r="1182" spans="1:1">
      <c r="A1182" s="385"/>
    </row>
    <row r="1183" spans="1:1">
      <c r="A1183" s="385"/>
    </row>
    <row r="1184" spans="1:1">
      <c r="A1184" s="38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M105"/>
  <sheetViews>
    <sheetView rightToLeft="1" view="pageBreakPreview" zoomScale="110" zoomScaleSheetLayoutView="110" workbookViewId="0">
      <selection activeCell="C10" sqref="C10:J10"/>
    </sheetView>
  </sheetViews>
  <sheetFormatPr defaultColWidth="9.109375" defaultRowHeight="16.2"/>
  <cols>
    <col min="1" max="1" width="2.44140625" style="28" customWidth="1"/>
    <col min="2" max="2" width="1.6640625" style="28" customWidth="1"/>
    <col min="3" max="3" width="9.109375" style="28" customWidth="1"/>
    <col min="4" max="4" width="10.88671875" style="28" customWidth="1"/>
    <col min="5" max="9" width="12.33203125" style="28" customWidth="1"/>
    <col min="10" max="10" width="10.109375" style="28" customWidth="1"/>
    <col min="11" max="11" width="1.6640625" style="28" customWidth="1"/>
    <col min="12" max="12" width="2.44140625" style="28" customWidth="1"/>
    <col min="13" max="16384" width="9.109375" style="28"/>
  </cols>
  <sheetData>
    <row r="1" spans="1:13" ht="15" customHeight="1" thickBot="1"/>
    <row r="2" spans="1:13" ht="9.75" customHeight="1" thickBot="1">
      <c r="B2" s="29"/>
      <c r="C2" s="30"/>
      <c r="D2" s="30"/>
      <c r="E2" s="30"/>
      <c r="F2" s="30"/>
      <c r="G2" s="30"/>
      <c r="H2" s="30"/>
      <c r="I2" s="30"/>
      <c r="J2" s="30"/>
      <c r="K2" s="29"/>
    </row>
    <row r="3" spans="1:13" ht="92.25" customHeight="1">
      <c r="B3" s="31"/>
      <c r="C3" s="720" t="str">
        <f>اطلاعات!B14</f>
        <v>موضوع قرارداد : ساختمان اداره کل نوسازی مدارس...</v>
      </c>
      <c r="D3" s="721"/>
      <c r="E3" s="721"/>
      <c r="F3" s="721"/>
      <c r="G3" s="721"/>
      <c r="H3" s="721"/>
      <c r="I3" s="721"/>
      <c r="J3" s="722"/>
      <c r="K3" s="32"/>
    </row>
    <row r="4" spans="1:13" ht="57.75" customHeight="1">
      <c r="B4" s="31"/>
      <c r="C4" s="723"/>
      <c r="D4" s="724"/>
      <c r="E4" s="724"/>
      <c r="F4" s="724"/>
      <c r="G4" s="724"/>
      <c r="H4" s="724"/>
      <c r="I4" s="724"/>
      <c r="J4" s="725"/>
      <c r="K4" s="32"/>
    </row>
    <row r="5" spans="1:13" ht="46.5" customHeight="1">
      <c r="B5" s="31"/>
      <c r="C5" s="726" t="str">
        <f>اطلاعات!B15</f>
        <v>کارفرما : اداره کل نوسازی مدارس استان ....</v>
      </c>
      <c r="D5" s="727"/>
      <c r="E5" s="727"/>
      <c r="F5" s="727"/>
      <c r="G5" s="727"/>
      <c r="H5" s="727"/>
      <c r="I5" s="727"/>
      <c r="J5" s="728"/>
      <c r="K5" s="32"/>
    </row>
    <row r="6" spans="1:13" ht="69" customHeight="1">
      <c r="B6" s="31"/>
      <c r="C6" s="726" t="str">
        <f>اطلاعات!B18</f>
        <v>پیمانکار :  مهندسین پیمانکار ....</v>
      </c>
      <c r="D6" s="727"/>
      <c r="E6" s="727"/>
      <c r="F6" s="727"/>
      <c r="G6" s="727"/>
      <c r="H6" s="727"/>
      <c r="I6" s="727"/>
      <c r="J6" s="728"/>
      <c r="K6" s="32"/>
    </row>
    <row r="7" spans="1:13" ht="69" customHeight="1">
      <c r="B7" s="31"/>
      <c r="C7" s="703" t="str">
        <f>اطلاعات!B5</f>
        <v>صورت وضعيت موقت شماره10</v>
      </c>
      <c r="D7" s="703"/>
      <c r="E7" s="703"/>
      <c r="F7" s="703"/>
      <c r="G7" s="703"/>
      <c r="H7" s="703"/>
      <c r="I7" s="703"/>
      <c r="J7" s="703"/>
      <c r="K7" s="32"/>
    </row>
    <row r="8" spans="1:13" ht="27" customHeight="1">
      <c r="B8" s="31"/>
      <c r="C8" s="704" t="s">
        <v>45</v>
      </c>
      <c r="D8" s="705" t="str">
        <f>اطلاعات!B7</f>
        <v>دوره كاركرد از: 1399/06/19</v>
      </c>
      <c r="E8" s="705"/>
      <c r="F8" s="705"/>
      <c r="G8" s="706" t="str">
        <f>اطلاعات!B8</f>
        <v>لغايت : 1399/07/19</v>
      </c>
      <c r="H8" s="706"/>
      <c r="I8" s="706"/>
      <c r="J8" s="707"/>
      <c r="K8" s="32"/>
    </row>
    <row r="9" spans="1:13" ht="27.75" customHeight="1">
      <c r="A9" s="115"/>
      <c r="B9" s="31"/>
      <c r="C9" s="708"/>
      <c r="D9" s="708"/>
      <c r="E9" s="708"/>
      <c r="F9" s="708"/>
      <c r="G9" s="708"/>
      <c r="H9" s="708"/>
      <c r="I9" s="708"/>
      <c r="J9" s="708"/>
      <c r="K9" s="32"/>
      <c r="L9" s="115"/>
    </row>
    <row r="10" spans="1:13" ht="30" customHeight="1">
      <c r="A10" s="115"/>
      <c r="B10" s="31"/>
      <c r="C10" s="709" t="str">
        <f>اطلاعات!B16</f>
        <v xml:space="preserve"> قرارداد شماره :  1232579/ر/1399</v>
      </c>
      <c r="D10" s="709"/>
      <c r="E10" s="709"/>
      <c r="F10" s="709"/>
      <c r="G10" s="709"/>
      <c r="H10" s="709"/>
      <c r="I10" s="709"/>
      <c r="J10" s="709"/>
      <c r="K10" s="32"/>
      <c r="L10" s="115"/>
    </row>
    <row r="11" spans="1:13" ht="30" customHeight="1">
      <c r="A11" s="115"/>
      <c r="B11" s="31"/>
      <c r="C11" s="710" t="s">
        <v>19</v>
      </c>
      <c r="D11" s="710"/>
      <c r="E11" s="710"/>
      <c r="F11" s="711"/>
      <c r="G11" s="711"/>
      <c r="H11" s="712" t="s">
        <v>212</v>
      </c>
      <c r="I11" s="712"/>
      <c r="J11" s="702"/>
      <c r="K11" s="32"/>
      <c r="L11" s="115"/>
    </row>
    <row r="12" spans="1:13" ht="30" customHeight="1">
      <c r="A12" s="115"/>
      <c r="B12" s="31"/>
      <c r="C12" s="713" t="s">
        <v>20</v>
      </c>
      <c r="D12" s="713"/>
      <c r="E12" s="713"/>
      <c r="F12" s="702"/>
      <c r="G12" s="702"/>
      <c r="H12" s="712" t="s">
        <v>212</v>
      </c>
      <c r="I12" s="712"/>
      <c r="J12" s="702"/>
      <c r="K12" s="32"/>
      <c r="L12" s="33"/>
      <c r="M12" s="33"/>
    </row>
    <row r="13" spans="1:13" ht="30" customHeight="1">
      <c r="A13" s="115"/>
      <c r="B13" s="31"/>
      <c r="C13" s="710" t="s">
        <v>21</v>
      </c>
      <c r="D13" s="710"/>
      <c r="E13" s="710"/>
      <c r="F13" s="702"/>
      <c r="G13" s="702"/>
      <c r="H13" s="714">
        <v>49719733619</v>
      </c>
      <c r="I13" s="714"/>
      <c r="J13" s="715"/>
      <c r="K13" s="32"/>
      <c r="L13" s="115"/>
    </row>
    <row r="14" spans="1:13" ht="30" customHeight="1">
      <c r="A14" s="115"/>
      <c r="B14" s="31"/>
      <c r="C14" s="710" t="s">
        <v>22</v>
      </c>
      <c r="D14" s="710"/>
      <c r="E14" s="710"/>
      <c r="F14" s="702"/>
      <c r="G14" s="702"/>
      <c r="H14" s="716" t="s">
        <v>213</v>
      </c>
      <c r="I14" s="716"/>
      <c r="J14" s="715"/>
      <c r="K14" s="32"/>
      <c r="L14" s="115"/>
    </row>
    <row r="15" spans="1:13" ht="21" customHeight="1">
      <c r="A15" s="115"/>
      <c r="B15" s="31"/>
      <c r="C15" s="702"/>
      <c r="D15" s="716"/>
      <c r="E15" s="716"/>
      <c r="F15" s="716"/>
      <c r="G15" s="716"/>
      <c r="H15" s="716"/>
      <c r="I15" s="716"/>
      <c r="J15" s="702"/>
      <c r="K15" s="32"/>
      <c r="L15" s="115"/>
    </row>
    <row r="16" spans="1:13" ht="23.25" customHeight="1">
      <c r="A16" s="115"/>
      <c r="B16" s="31"/>
      <c r="C16" s="702"/>
      <c r="D16" s="717" t="s">
        <v>45</v>
      </c>
      <c r="E16" s="717"/>
      <c r="F16" s="717" t="s">
        <v>51</v>
      </c>
      <c r="G16" s="717"/>
      <c r="H16" s="717" t="s">
        <v>52</v>
      </c>
      <c r="I16" s="717"/>
      <c r="J16" s="702"/>
      <c r="K16" s="32"/>
      <c r="L16" s="115"/>
    </row>
    <row r="17" spans="1:12" ht="23.25" customHeight="1">
      <c r="A17" s="115"/>
      <c r="B17" s="31"/>
      <c r="C17" s="702"/>
      <c r="D17" s="717" t="s">
        <v>53</v>
      </c>
      <c r="E17" s="717"/>
      <c r="F17" s="717"/>
      <c r="G17" s="717"/>
      <c r="H17" s="717"/>
      <c r="I17" s="717"/>
      <c r="J17" s="702"/>
      <c r="K17" s="32"/>
      <c r="L17" s="115"/>
    </row>
    <row r="18" spans="1:12" ht="23.25" customHeight="1">
      <c r="A18" s="115"/>
      <c r="B18" s="31"/>
      <c r="C18" s="702"/>
      <c r="D18" s="717" t="s">
        <v>54</v>
      </c>
      <c r="E18" s="717"/>
      <c r="F18" s="717"/>
      <c r="G18" s="717"/>
      <c r="H18" s="717"/>
      <c r="I18" s="717"/>
      <c r="J18" s="702"/>
      <c r="K18" s="32"/>
      <c r="L18" s="115"/>
    </row>
    <row r="19" spans="1:12" ht="27" customHeight="1">
      <c r="A19" s="115"/>
      <c r="B19" s="31"/>
      <c r="C19" s="718"/>
      <c r="D19" s="717" t="s">
        <v>55</v>
      </c>
      <c r="E19" s="717"/>
      <c r="F19" s="717"/>
      <c r="G19" s="717"/>
      <c r="H19" s="717"/>
      <c r="I19" s="717"/>
      <c r="J19" s="718"/>
      <c r="K19" s="32"/>
      <c r="L19" s="115"/>
    </row>
    <row r="20" spans="1:12" ht="47.25" customHeight="1" thickBot="1">
      <c r="A20" s="115"/>
      <c r="B20" s="31"/>
      <c r="C20" s="719"/>
      <c r="D20" s="719"/>
      <c r="E20" s="719"/>
      <c r="F20" s="719"/>
      <c r="G20" s="719"/>
      <c r="H20" s="719"/>
      <c r="I20" s="719"/>
      <c r="J20" s="719"/>
      <c r="K20" s="32"/>
      <c r="L20" s="115"/>
    </row>
    <row r="21" spans="1:12" ht="9.9" customHeight="1" thickBot="1">
      <c r="A21" s="115"/>
      <c r="B21" s="29"/>
      <c r="C21" s="34"/>
      <c r="D21" s="34"/>
      <c r="E21" s="34"/>
      <c r="F21" s="34"/>
      <c r="G21" s="34"/>
      <c r="H21" s="34"/>
      <c r="I21" s="34"/>
      <c r="J21" s="34"/>
      <c r="K21" s="29"/>
      <c r="L21" s="115"/>
    </row>
    <row r="22" spans="1:12" ht="15" customHeight="1">
      <c r="A22" s="115"/>
      <c r="B22" s="115"/>
      <c r="C22" s="115"/>
      <c r="D22" s="115"/>
      <c r="E22" s="115"/>
      <c r="F22" s="115"/>
      <c r="G22" s="115"/>
      <c r="H22" s="115"/>
      <c r="I22" s="115"/>
      <c r="J22" s="115"/>
      <c r="K22" s="115"/>
      <c r="L22" s="115"/>
    </row>
    <row r="23" spans="1:12">
      <c r="A23" s="115"/>
      <c r="B23" s="115"/>
      <c r="C23" s="115"/>
      <c r="D23" s="115"/>
      <c r="E23" s="115"/>
      <c r="F23" s="115"/>
      <c r="G23" s="115"/>
      <c r="H23" s="115"/>
      <c r="I23" s="115"/>
      <c r="J23" s="115"/>
      <c r="K23" s="115"/>
      <c r="L23" s="115"/>
    </row>
    <row r="24" spans="1:12">
      <c r="A24" s="115"/>
      <c r="B24" s="115"/>
      <c r="C24" s="115"/>
      <c r="D24" s="115"/>
      <c r="E24" s="115"/>
      <c r="F24" s="115"/>
      <c r="G24" s="115"/>
      <c r="H24" s="115"/>
      <c r="I24" s="115"/>
      <c r="J24" s="115"/>
      <c r="K24" s="115"/>
      <c r="L24" s="115"/>
    </row>
    <row r="25" spans="1:12">
      <c r="A25" s="115"/>
      <c r="B25" s="115"/>
      <c r="C25" s="115"/>
      <c r="D25" s="115"/>
      <c r="E25" s="115"/>
      <c r="F25" s="115"/>
      <c r="G25" s="115"/>
      <c r="H25" s="115"/>
      <c r="I25" s="115"/>
      <c r="J25" s="115"/>
      <c r="K25" s="115"/>
      <c r="L25" s="115"/>
    </row>
    <row r="26" spans="1:12">
      <c r="A26" s="115"/>
      <c r="B26" s="115"/>
      <c r="C26" s="115"/>
      <c r="D26" s="115"/>
      <c r="E26" s="115"/>
      <c r="F26" s="115"/>
      <c r="G26" s="115"/>
      <c r="H26" s="115"/>
      <c r="I26" s="115"/>
      <c r="J26" s="115"/>
      <c r="K26" s="115"/>
      <c r="L26" s="115"/>
    </row>
    <row r="27" spans="1:12">
      <c r="A27" s="115"/>
      <c r="B27" s="115"/>
      <c r="C27" s="115"/>
      <c r="D27" s="115"/>
      <c r="E27" s="115"/>
      <c r="F27" s="115"/>
      <c r="G27" s="115"/>
      <c r="H27" s="115"/>
      <c r="I27" s="115"/>
      <c r="J27" s="115"/>
      <c r="K27" s="115"/>
      <c r="L27" s="115"/>
    </row>
    <row r="28" spans="1:12">
      <c r="A28" s="115"/>
      <c r="B28" s="115"/>
      <c r="C28" s="115"/>
      <c r="D28" s="115"/>
      <c r="E28" s="115"/>
      <c r="F28" s="115"/>
      <c r="G28" s="115"/>
      <c r="H28" s="115"/>
      <c r="I28" s="115"/>
      <c r="J28" s="115"/>
      <c r="K28" s="115"/>
      <c r="L28" s="115"/>
    </row>
    <row r="50" spans="8:10">
      <c r="J50" s="143"/>
    </row>
    <row r="64" spans="8:10">
      <c r="H64" s="147"/>
      <c r="J64" s="147"/>
    </row>
    <row r="68" spans="8:10">
      <c r="H68" s="147"/>
      <c r="J68" s="147"/>
    </row>
    <row r="76" spans="8:10">
      <c r="H76" s="143"/>
    </row>
    <row r="77" spans="8:10">
      <c r="H77" s="143"/>
      <c r="J77" s="143"/>
    </row>
    <row r="93" spans="8:8">
      <c r="H93" s="143"/>
    </row>
    <row r="104" spans="8:8">
      <c r="H104" s="143"/>
    </row>
    <row r="105" spans="8:8">
      <c r="H105" s="143"/>
    </row>
  </sheetData>
  <customSheetViews>
    <customSheetView guid="{5F979833-83B6-471E-868C-7104B08B174F}" scale="110" showPageBreaks="1" printArea="1" view="pageBreakPreview" topLeftCell="A7">
      <selection activeCell="C10" sqref="C10:J10"/>
      <pageMargins left="0" right="0.39370078740157483" top="0.27559055118110237" bottom="0.19685039370078741" header="0.39370078740157483" footer="0.39370078740157483"/>
      <printOptions horizontalCentered="1" verticalCentered="1"/>
      <pageSetup paperSize="9" scale="120" orientation="portrait" r:id="rId1"/>
      <headerFooter alignWithMargins="0"/>
    </customSheetView>
  </customSheetViews>
  <mergeCells count="31">
    <mergeCell ref="C5:J5"/>
    <mergeCell ref="C6:J6"/>
    <mergeCell ref="C3:J4"/>
    <mergeCell ref="C10:J10"/>
    <mergeCell ref="C20:J20"/>
    <mergeCell ref="C11:E11"/>
    <mergeCell ref="H11:I11"/>
    <mergeCell ref="C12:E12"/>
    <mergeCell ref="H12:I12"/>
    <mergeCell ref="C13:E13"/>
    <mergeCell ref="H13:I13"/>
    <mergeCell ref="D16:E16"/>
    <mergeCell ref="D17:E17"/>
    <mergeCell ref="D15:F15"/>
    <mergeCell ref="D19:E19"/>
    <mergeCell ref="H16:I16"/>
    <mergeCell ref="H14:I14"/>
    <mergeCell ref="H17:I17"/>
    <mergeCell ref="F16:G16"/>
    <mergeCell ref="H19:I19"/>
    <mergeCell ref="D18:E18"/>
    <mergeCell ref="F18:G18"/>
    <mergeCell ref="H18:I18"/>
    <mergeCell ref="C7:J7"/>
    <mergeCell ref="C9:J9"/>
    <mergeCell ref="G15:I15"/>
    <mergeCell ref="D8:F8"/>
    <mergeCell ref="F17:G17"/>
    <mergeCell ref="G8:I8"/>
    <mergeCell ref="C14:E14"/>
    <mergeCell ref="F19:G19"/>
  </mergeCells>
  <printOptions horizontalCentered="1" verticalCentered="1"/>
  <pageMargins left="0" right="0.39370078740157483" top="0" bottom="0" header="0" footer="0"/>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BY1289"/>
  <sheetViews>
    <sheetView rightToLeft="1" view="pageBreakPreview" topLeftCell="A13" zoomScaleSheetLayoutView="100" workbookViewId="0">
      <selection activeCell="G19" sqref="G19:N19"/>
    </sheetView>
  </sheetViews>
  <sheetFormatPr defaultColWidth="9.109375" defaultRowHeight="17.399999999999999"/>
  <cols>
    <col min="1" max="1" width="8.88671875" style="38" customWidth="1"/>
    <col min="2" max="5" width="12.109375" style="38" customWidth="1"/>
    <col min="6" max="6" width="2.88671875" style="38" customWidth="1"/>
    <col min="7" max="12" width="9.109375" style="38" customWidth="1"/>
    <col min="13" max="13" width="13.109375" style="38" customWidth="1"/>
    <col min="14" max="14" width="13.6640625" style="38" customWidth="1"/>
    <col min="15" max="15" width="2.33203125" style="38" customWidth="1"/>
    <col min="16" max="16" width="8" style="38" customWidth="1"/>
    <col min="17" max="25" width="8" style="195" hidden="1" customWidth="1"/>
    <col min="26" max="26" width="8" style="220" hidden="1" customWidth="1"/>
    <col min="27" max="47" width="8" style="195" hidden="1" customWidth="1"/>
    <col min="48" max="55" width="13.44140625" style="195" hidden="1" customWidth="1"/>
    <col min="56" max="56" width="13.44140625" style="221" hidden="1" customWidth="1"/>
    <col min="57" max="65" width="13.44140625" style="195" hidden="1" customWidth="1"/>
    <col min="66" max="66" width="13.44140625" style="222" hidden="1" customWidth="1"/>
    <col min="67" max="75" width="13.44140625" style="195" hidden="1" customWidth="1"/>
    <col min="76" max="76" width="0" style="38" hidden="1" customWidth="1"/>
    <col min="77" max="77" width="16.5546875" style="38" customWidth="1"/>
    <col min="78" max="16384" width="9.109375" style="38"/>
  </cols>
  <sheetData>
    <row r="1" spans="1:77" ht="19.5" customHeight="1">
      <c r="A1" s="729"/>
      <c r="B1" s="729"/>
      <c r="C1" s="729"/>
      <c r="D1" s="729"/>
      <c r="E1" s="729"/>
      <c r="F1" s="729"/>
      <c r="G1" s="729"/>
      <c r="H1" s="729"/>
      <c r="I1" s="729"/>
      <c r="J1" s="729"/>
      <c r="K1" s="729"/>
      <c r="L1" s="729"/>
      <c r="M1" s="729"/>
      <c r="N1" s="729"/>
      <c r="O1" s="729"/>
      <c r="Z1" s="196"/>
      <c r="BD1" s="197"/>
      <c r="BN1" s="197"/>
    </row>
    <row r="2" spans="1:77" ht="19.5" customHeight="1">
      <c r="A2" s="729"/>
      <c r="B2" s="729"/>
      <c r="C2" s="729"/>
      <c r="D2" s="729"/>
      <c r="E2" s="729"/>
      <c r="F2" s="729"/>
      <c r="G2" s="729"/>
      <c r="H2" s="729"/>
      <c r="I2" s="729"/>
      <c r="J2" s="729"/>
      <c r="K2" s="729"/>
      <c r="L2" s="729"/>
      <c r="M2" s="729"/>
      <c r="N2" s="729"/>
      <c r="O2" s="729"/>
      <c r="Z2" s="196"/>
      <c r="BD2" s="197"/>
      <c r="BN2" s="197"/>
    </row>
    <row r="3" spans="1:77" ht="24" customHeight="1">
      <c r="B3" s="11"/>
      <c r="C3" s="11"/>
      <c r="D3" s="11"/>
      <c r="F3" s="59"/>
      <c r="G3" s="59"/>
      <c r="H3" s="59" t="s">
        <v>57</v>
      </c>
      <c r="I3" s="59"/>
      <c r="J3" s="59"/>
      <c r="K3" s="59"/>
      <c r="M3" s="60" t="s">
        <v>23</v>
      </c>
      <c r="N3" s="12">
        <v>1</v>
      </c>
      <c r="Z3" s="196"/>
      <c r="BD3" s="197"/>
      <c r="BN3" s="197"/>
    </row>
    <row r="4" spans="1:77" ht="35.25" customHeight="1">
      <c r="A4" s="416" t="str">
        <f>اطلاعات!B15</f>
        <v>کارفرما : اداره کل نوسازی مدارس استان ....</v>
      </c>
      <c r="B4" s="416"/>
      <c r="C4" s="416"/>
      <c r="D4" s="416"/>
      <c r="E4" s="416"/>
      <c r="F4" s="416"/>
      <c r="G4" s="416"/>
      <c r="H4" s="416"/>
      <c r="I4" s="416"/>
      <c r="J4" s="416"/>
      <c r="K4" s="476" t="str">
        <f>اطلاعات!B5</f>
        <v>صورت وضعيت موقت شماره10</v>
      </c>
      <c r="L4" s="476"/>
      <c r="M4" s="476"/>
      <c r="N4" s="476"/>
      <c r="Z4" s="196"/>
      <c r="BD4" s="197"/>
      <c r="BN4" s="197"/>
    </row>
    <row r="5" spans="1:77" ht="33" customHeight="1">
      <c r="A5" s="416" t="str">
        <f>اطلاعات!B16</f>
        <v xml:space="preserve"> قرارداد شماره :  1232579/ر/1399</v>
      </c>
      <c r="B5" s="416"/>
      <c r="C5" s="416"/>
      <c r="D5" s="416"/>
      <c r="E5" s="416"/>
      <c r="F5" s="416"/>
      <c r="G5" s="416"/>
      <c r="H5" s="416"/>
      <c r="I5" s="416"/>
      <c r="J5" s="416"/>
      <c r="K5" s="476"/>
      <c r="L5" s="476"/>
      <c r="M5" s="476"/>
      <c r="N5" s="476"/>
      <c r="Z5" s="196"/>
      <c r="BD5" s="197"/>
      <c r="BN5" s="197"/>
    </row>
    <row r="6" spans="1:77" ht="35.25" customHeight="1">
      <c r="A6" s="452" t="str">
        <f xml:space="preserve"> اطلاعات!B18</f>
        <v>پیمانکار :  مهندسین پیمانکار ....</v>
      </c>
      <c r="B6" s="452"/>
      <c r="C6" s="452"/>
      <c r="D6" s="452"/>
      <c r="E6" s="452"/>
      <c r="F6" s="452"/>
      <c r="G6" s="452"/>
      <c r="H6" s="452"/>
      <c r="I6" s="452"/>
      <c r="J6" s="452"/>
      <c r="K6" s="12"/>
      <c r="L6" s="12"/>
      <c r="M6" s="476" t="str">
        <f>اطلاعات!B7</f>
        <v>دوره كاركرد از: 1399/06/19</v>
      </c>
      <c r="N6" s="476"/>
      <c r="Z6" s="196"/>
      <c r="BD6" s="197"/>
      <c r="BN6" s="197"/>
    </row>
    <row r="7" spans="1:77" ht="21" customHeight="1">
      <c r="A7" s="52" t="str">
        <f>اطلاعات!B16</f>
        <v xml:space="preserve"> قرارداد شماره :  1232579/ر/1399</v>
      </c>
      <c r="B7" s="15"/>
      <c r="C7" s="15"/>
      <c r="D7" s="731"/>
      <c r="E7" s="731"/>
      <c r="F7" s="731"/>
      <c r="G7" s="731"/>
      <c r="H7" s="731"/>
      <c r="I7" s="731"/>
      <c r="J7" s="731"/>
      <c r="K7" s="731"/>
      <c r="L7" s="731"/>
      <c r="M7" s="476" t="str">
        <f>اطلاعات!B8</f>
        <v>لغايت : 1399/07/19</v>
      </c>
      <c r="N7" s="476"/>
      <c r="Z7" s="196"/>
      <c r="BD7" s="197"/>
      <c r="BN7" s="197"/>
    </row>
    <row r="8" spans="1:77" ht="21" customHeight="1" thickBot="1">
      <c r="A8" s="52" t="str">
        <f>اطلاعات!B14</f>
        <v>موضوع قرارداد : ساختمان اداره کل نوسازی مدارس...</v>
      </c>
      <c r="B8" s="13"/>
      <c r="C8" s="13"/>
      <c r="D8" s="13"/>
      <c r="E8" s="13"/>
      <c r="F8" s="13"/>
      <c r="G8" s="13"/>
      <c r="H8" s="17"/>
      <c r="I8" s="17"/>
      <c r="J8" s="18"/>
      <c r="K8" s="18"/>
      <c r="L8" s="18"/>
      <c r="M8" s="18"/>
      <c r="N8" s="19"/>
      <c r="Z8" s="196"/>
      <c r="BD8" s="197"/>
      <c r="BN8" s="197"/>
    </row>
    <row r="9" spans="1:77" ht="30.75" customHeight="1" thickTop="1">
      <c r="A9" s="426" t="s">
        <v>45</v>
      </c>
      <c r="B9" s="427"/>
      <c r="C9" s="427"/>
      <c r="D9" s="427"/>
      <c r="E9" s="427"/>
      <c r="F9" s="427"/>
      <c r="G9" s="430" t="s">
        <v>3125</v>
      </c>
      <c r="H9" s="431"/>
      <c r="I9" s="432"/>
      <c r="J9" s="477" t="s">
        <v>58</v>
      </c>
      <c r="K9" s="427"/>
      <c r="L9" s="478"/>
      <c r="M9" s="477" t="s">
        <v>59</v>
      </c>
      <c r="N9" s="481"/>
      <c r="Z9" s="196"/>
      <c r="BD9" s="197"/>
      <c r="BN9" s="197"/>
    </row>
    <row r="10" spans="1:77" ht="24.75" customHeight="1" thickBot="1">
      <c r="A10" s="428"/>
      <c r="B10" s="429"/>
      <c r="C10" s="429"/>
      <c r="D10" s="429"/>
      <c r="E10" s="429"/>
      <c r="F10" s="429"/>
      <c r="G10" s="433"/>
      <c r="H10" s="434"/>
      <c r="I10" s="435"/>
      <c r="J10" s="479"/>
      <c r="K10" s="429"/>
      <c r="L10" s="480"/>
      <c r="M10" s="482"/>
      <c r="N10" s="483"/>
      <c r="Z10" s="196"/>
      <c r="BD10" s="197"/>
      <c r="BN10" s="197"/>
    </row>
    <row r="11" spans="1:77" ht="24" customHeight="1" thickBot="1">
      <c r="A11" s="423" t="s">
        <v>60</v>
      </c>
      <c r="B11" s="424"/>
      <c r="C11" s="424"/>
      <c r="D11" s="424"/>
      <c r="E11" s="424"/>
      <c r="F11" s="424"/>
      <c r="G11" s="436">
        <f>' خلاصه مالي فهارس '!L15</f>
        <v>40154494763.237</v>
      </c>
      <c r="H11" s="437"/>
      <c r="I11" s="438"/>
      <c r="J11" s="460">
        <f>' خلاصه مالي فهارس '!$M$15</f>
        <v>0</v>
      </c>
      <c r="K11" s="461"/>
      <c r="L11" s="462"/>
      <c r="M11" s="456"/>
      <c r="N11" s="457"/>
      <c r="Z11" s="196"/>
      <c r="BD11" s="197"/>
      <c r="BN11" s="197"/>
    </row>
    <row r="12" spans="1:77" ht="24" customHeight="1" thickBot="1">
      <c r="A12" s="420"/>
      <c r="B12" s="421"/>
      <c r="C12" s="421"/>
      <c r="D12" s="421"/>
      <c r="E12" s="421"/>
      <c r="F12" s="421"/>
      <c r="G12" s="439"/>
      <c r="H12" s="440"/>
      <c r="I12" s="441"/>
      <c r="J12" s="463"/>
      <c r="K12" s="464"/>
      <c r="L12" s="465"/>
      <c r="M12" s="458"/>
      <c r="N12" s="459"/>
      <c r="Q12" s="198">
        <f>INT(J11/10^11)-INT(J11/10^12)*10</f>
        <v>0</v>
      </c>
      <c r="R12" s="199" t="str">
        <f>IF(Q12=1,REPLACE(1,1,1,"یکصد"),IF(Q12=2,REPLACE(2,1,1,"دویست"),IF(Q12=3,REPLACE(3,1,1,"سیصد"),IF(Q12=4,REPLACE(4,1,1,"چهارصد"),IF(Q12=5,REPLACE(5,1,1,"پانصد"),"")))))</f>
        <v/>
      </c>
      <c r="S12" s="199" t="str">
        <f>IF(Q12=6,REPLACE(6,1,1,"ششصد"),IF(Q12=7,REPLACE(7,1,1,"هفتصد"),IF(Q12=8,REPLACE(8,1,1,"هشتصد"),IF(Q12=9,REPLACE(9,1,1,"نهصد"),""))))</f>
        <v/>
      </c>
      <c r="T12" s="199"/>
      <c r="U12" s="199"/>
      <c r="V12" s="199" t="str">
        <f>IF(Q12&lt;6,R12,S12)</f>
        <v/>
      </c>
      <c r="W12" s="199" t="str">
        <f>IF(Q12=0,"",IF(Q15=0,""," و "))</f>
        <v/>
      </c>
      <c r="X12" s="199"/>
      <c r="Y12" s="200"/>
      <c r="Z12" s="196"/>
      <c r="AA12" s="198">
        <f>INT(M16/10^11)-INT(W16/10^12)*10</f>
        <v>0</v>
      </c>
      <c r="AB12" s="199" t="str">
        <f>IF(AA12=1,REPLACE(1,1,1,"یکصد"),IF(AA12=2,REPLACE(2,1,1,"دویست"),IF(AA12=3,REPLACE(3,1,1,"سیصد"),IF(AA12=4,REPLACE(4,1,1,"چهارصد"),IF(AA12=5,REPLACE(5,1,1,"پانصد"),"")))))</f>
        <v/>
      </c>
      <c r="AC12" s="199" t="str">
        <f>IF(AA12=6,REPLACE(6,1,1,"ششصد"),IF(AA12=7,REPLACE(7,1,1,"هفتصد"),IF(AA12=8,REPLACE(8,1,1,"هشتصد"),IF(AA12=9,REPLACE(9,1,1,"نهصد"),""))))</f>
        <v/>
      </c>
      <c r="AD12" s="199"/>
      <c r="AE12" s="199"/>
      <c r="AF12" s="199" t="str">
        <f>IF(AA12&lt;6,AB12,AC12)</f>
        <v/>
      </c>
      <c r="AG12" s="199" t="str">
        <f>IF(AA12=0,"",IF(AA15=0,""," و "))</f>
        <v/>
      </c>
      <c r="AH12" s="199"/>
      <c r="AI12" s="200"/>
      <c r="AJ12" s="201"/>
      <c r="AK12" s="198">
        <f>INT(M18/10^11)-INT(M18/10^12)*10</f>
        <v>0</v>
      </c>
      <c r="AL12" s="199" t="str">
        <f>IF(AK12=1,REPLACE(1,1,1,"یکصد"),IF(AK12=2,REPLACE(2,1,1,"دویست"),IF(AK12=3,REPLACE(3,1,1,"سیصد"),IF(AK12=4,REPLACE(4,1,1,"چهارصد"),IF(AK12=5,REPLACE(5,1,1,"پانصد"),"")))))</f>
        <v/>
      </c>
      <c r="AM12" s="199" t="str">
        <f>IF(AK12=6,REPLACE(6,1,1,"ششصد"),IF(AK12=7,REPLACE(7,1,1,"هفتصد"),IF(AK12=8,REPLACE(8,1,1,"هشتصد"),IF(AK12=9,REPLACE(9,1,1,"نهصد"),""))))</f>
        <v/>
      </c>
      <c r="AN12" s="199"/>
      <c r="AO12" s="199"/>
      <c r="AP12" s="199" t="str">
        <f>IF(AK12&lt;6,AL12,AM12)</f>
        <v/>
      </c>
      <c r="AQ12" s="199" t="str">
        <f>IF(AK12=0,"",IF(AK15=0,""," و "))</f>
        <v/>
      </c>
      <c r="AR12" s="199"/>
      <c r="AS12" s="200"/>
      <c r="AT12" s="199"/>
      <c r="AU12" s="202">
        <f>INT(G11/10^11)-INT(G11/10^12)*10</f>
        <v>0</v>
      </c>
      <c r="AV12" s="201" t="str">
        <f>IF(AU12=1,REPLACE(1,1,1,"یکصد"),IF(AU12=2,REPLACE(2,1,1,"دویست"),IF(AU12=3,REPLACE(3,1,1,"سیصد"),IF(AU12=4,REPLACE(4,1,1,"چهارصد"),IF(AU12=5,REPLACE(5,1,1,"پانصد"),"")))))</f>
        <v/>
      </c>
      <c r="AW12" s="201" t="str">
        <f>IF(AU12=6,REPLACE(6,1,1,"ششصد"),IF(AU12=7,REPLACE(7,1,1,"هفتصد"),IF(AU12=8,REPLACE(8,1,1,"هشتصد"),IF(AU12=9,REPLACE(9,1,1,"نهصد"),""))))</f>
        <v/>
      </c>
      <c r="AX12" s="201"/>
      <c r="AY12" s="201"/>
      <c r="AZ12" s="201" t="str">
        <f>IF(AU12&lt;6,AV12,AW12)</f>
        <v/>
      </c>
      <c r="BA12" s="201" t="str">
        <f>IF(AU12=0,"",IF(AU15=0,""," و "))</f>
        <v/>
      </c>
      <c r="BB12" s="201"/>
      <c r="BC12" s="203"/>
      <c r="BD12" s="197"/>
      <c r="BE12" s="202">
        <f>INT(J16/10^11)-INT(J16/10^12)*10</f>
        <v>0</v>
      </c>
      <c r="BF12" s="201" t="str">
        <f>IF(BE12=1,REPLACE(1,1,1,"یکصد"),IF(BE12=2,REPLACE(2,1,1,"دویست"),IF(BE12=3,REPLACE(3,1,1,"سیصد"),IF(BE12=4,REPLACE(4,1,1,"چهارصد"),IF(BE12=5,REPLACE(5,1,1,"پانصد"),"")))))</f>
        <v/>
      </c>
      <c r="BG12" s="201" t="str">
        <f>IF(BE12=6,REPLACE(6,1,1,"ششصد"),IF(BE12=7,REPLACE(7,1,1,"هفتصد"),IF(BE12=8,REPLACE(8,1,1,"هشتصد"),IF(BE12=9,REPLACE(9,1,1,"نهصد"),""))))</f>
        <v/>
      </c>
      <c r="BH12" s="201"/>
      <c r="BI12" s="201"/>
      <c r="BJ12" s="201" t="str">
        <f>IF(BE12&lt;6,BF12,BG12)</f>
        <v/>
      </c>
      <c r="BK12" s="201" t="str">
        <f>IF(BE12=0,"",IF(BE15=0,""," و "))</f>
        <v/>
      </c>
      <c r="BL12" s="201"/>
      <c r="BM12" s="203"/>
      <c r="BN12" s="197"/>
      <c r="BO12" s="202">
        <f>INT(J18/10^11)-INT(J18/10^12)*10</f>
        <v>0</v>
      </c>
      <c r="BP12" s="201" t="str">
        <f>IF(BO12=1,REPLACE(1,1,1,"یکصد"),IF(BO12=2,REPLACE(2,1,1,"دویست"),IF(BO12=3,REPLACE(3,1,1,"سیصد"),IF(BO12=4,REPLACE(4,1,1,"چهارصد"),IF(BO12=5,REPLACE(5,1,1,"پانصد"),"")))))</f>
        <v/>
      </c>
      <c r="BQ12" s="201" t="str">
        <f>IF(BO12=6,REPLACE(6,1,1,"ششصد"),IF(BO12=7,REPLACE(7,1,1,"هفتصد"),IF(BO12=8,REPLACE(8,1,1,"هشتصد"),IF(BO12=9,REPLACE(9,1,1,"نهصد"),""))))</f>
        <v/>
      </c>
      <c r="BR12" s="201"/>
      <c r="BS12" s="201"/>
      <c r="BT12" s="201" t="str">
        <f>IF(BO12&lt;6,BP12,BQ12)</f>
        <v/>
      </c>
      <c r="BU12" s="201" t="str">
        <f>IF(BO12=0,"",IF(BO15=0,""," و "))</f>
        <v/>
      </c>
      <c r="BV12" s="201"/>
      <c r="BW12" s="203"/>
    </row>
    <row r="13" spans="1:77" ht="29.25" customHeight="1" thickBot="1">
      <c r="A13" s="442" t="s">
        <v>180</v>
      </c>
      <c r="B13" s="443"/>
      <c r="C13" s="443"/>
      <c r="D13" s="443"/>
      <c r="E13" s="443"/>
      <c r="F13" s="444"/>
      <c r="G13" s="436">
        <f>G11*1.09</f>
        <v>43768399291.928329</v>
      </c>
      <c r="H13" s="437"/>
      <c r="I13" s="438"/>
      <c r="J13" s="460"/>
      <c r="K13" s="461"/>
      <c r="L13" s="462"/>
      <c r="M13" s="456"/>
      <c r="N13" s="457"/>
      <c r="Q13" s="198" t="e">
        <f>INT(J9/10^10)-INT(J9/10^11)*10</f>
        <v>#VALUE!</v>
      </c>
      <c r="R13" s="204" t="e">
        <f>IF(Q13=1,REPLACE(1,1,1,"ده"),IF(Q13=2,REPLACE(2,1,1,"بیست"),IF(Q13=3,REPLACE(3,1,1,"سی"),IF(Q13=4,REPLACE(4,1,1,"چهل"),IF(Q13=5,REPLACE(5,1,1,"پنجاه"),"")))))</f>
        <v>#VALUE!</v>
      </c>
      <c r="S13" s="204" t="e">
        <f>IF(Q13=6,REPLACE(6,1,1,"شصت"),IF(Q13=7,REPLACE(7,1,1,"هفتاد"),IF(Q13=8,REPLACE(8,1,1,"هشتاد"),IF(Q13=9,REPLACE(9,1,1,"نود"),""))))</f>
        <v>#VALUE!</v>
      </c>
      <c r="T13" s="204" t="e">
        <f>IF(Q13=1,IF(Q14=0,"ده",IF(Q14=1,"یازده",IF(Q14=2,"دوازده",IF(Q14=3,"سیزده",IF(Q14=4,"چهارده",IF(Q14=5,"پانزده","")))))),"")</f>
        <v>#VALUE!</v>
      </c>
      <c r="U13" s="204" t="e">
        <f>IF(Q13=1,IF(Q14=6,"شانزده",IF(Q14=7,"هفده",IF(Q14=8,"هجده",IF(Q14=9,"نوزده","")))),"")</f>
        <v>#VALUE!</v>
      </c>
      <c r="V13" s="204" t="e">
        <f>IF(Q13=1,IF(Q14&lt;6,T13,U13),IF(Q13&lt;6,R13,S13))</f>
        <v>#VALUE!</v>
      </c>
      <c r="W13" s="204" t="e">
        <f>IF(Q13&lt;2,"",IF(Q14=0,""," و "))</f>
        <v>#VALUE!</v>
      </c>
      <c r="X13" s="204"/>
      <c r="Y13" s="205"/>
      <c r="Z13" s="204"/>
      <c r="AA13" s="198">
        <f>INT(M14/10^10)-INT(M14/10^11)*10</f>
        <v>0</v>
      </c>
      <c r="AB13" s="204" t="str">
        <f>IF(AA13=1,REPLACE(1,1,1,"ده"),IF(AA13=2,REPLACE(2,1,1,"بیست"),IF(AA13=3,REPLACE(3,1,1,"سی"),IF(AA13=4,REPLACE(4,1,1,"چهل"),IF(AA13=5,REPLACE(5,1,1,"پنجاه"),"")))))</f>
        <v/>
      </c>
      <c r="AC13" s="204" t="str">
        <f>IF(AA13=6,REPLACE(6,1,1,"شصت"),IF(AA13=7,REPLACE(7,1,1,"هفتاد"),IF(AA13=8,REPLACE(8,1,1,"هشتاد"),IF(AA13=9,REPLACE(9,1,1,"نود"),""))))</f>
        <v/>
      </c>
      <c r="AD13" s="204" t="str">
        <f>IF(AA13=1,IF(AA14=0,"ده",IF(AA14=1,"یازده",IF(AA14=2,"دوازده",IF(AA14=3,"سیزده",IF(AA14=4,"چهارده",IF(AA14=5,"پانزده","")))))),"")</f>
        <v/>
      </c>
      <c r="AE13" s="204" t="str">
        <f>IF(AA13=1,IF(AA14=6,"شانزده",IF(AA14=7,"هفده",IF(AA14=8,"هجده",IF(AA14=9,"نوزده","")))),"")</f>
        <v/>
      </c>
      <c r="AF13" s="204" t="str">
        <f>IF(AA13=1,IF(AA14&lt;6,AD13,AE13),IF(AA13&lt;6,AB13,AC13))</f>
        <v/>
      </c>
      <c r="AG13" s="204" t="str">
        <f>IF(AA13&lt;2,"",IF(AA14=0,""," و "))</f>
        <v/>
      </c>
      <c r="AH13" s="204"/>
      <c r="AI13" s="205"/>
      <c r="AJ13" s="206"/>
      <c r="AK13" s="198">
        <f>INT(M16/10^10)-INT(M16/10^11)*10</f>
        <v>0</v>
      </c>
      <c r="AL13" s="204" t="str">
        <f>IF(AK13=1,REPLACE(1,1,1,"ده"),IF(AK13=2,REPLACE(2,1,1,"بیست"),IF(AK13=3,REPLACE(3,1,1,"سی"),IF(AK13=4,REPLACE(4,1,1,"چهل"),IF(AK13=5,REPLACE(5,1,1,"پنجاه"),"")))))</f>
        <v/>
      </c>
      <c r="AM13" s="204" t="str">
        <f>IF(AK13=6,REPLACE(6,1,1,"شصت"),IF(AK13=7,REPLACE(7,1,1,"هفتاد"),IF(AK13=8,REPLACE(8,1,1,"هشتاد"),IF(AK13=9,REPLACE(9,1,1,"نود"),""))))</f>
        <v/>
      </c>
      <c r="AN13" s="204" t="str">
        <f>IF(AK13=1,IF(AK14=0,"ده",IF(AK14=1,"یازده",IF(AK14=2,"دوازده",IF(AK14=3,"سیزده",IF(AK14=4,"چهارده",IF(AK14=5,"پانزده","")))))),"")</f>
        <v/>
      </c>
      <c r="AO13" s="204" t="str">
        <f>IF(AK13=1,IF(AK14=6,"شانزده",IF(AK14=7,"هفده",IF(AK14=8,"هجده",IF(AK14=9,"نوزده","")))),"")</f>
        <v/>
      </c>
      <c r="AP13" s="204" t="str">
        <f>IF(AK13=1,IF(AK14&lt;6,AN13,AO13),IF(AK13&lt;6,AL13,AM13))</f>
        <v/>
      </c>
      <c r="AQ13" s="204" t="str">
        <f>IF(AK13&lt;2,"",IF(AK14=0,""," و "))</f>
        <v/>
      </c>
      <c r="AR13" s="204"/>
      <c r="AS13" s="205"/>
      <c r="AT13" s="204"/>
      <c r="AU13" s="202" t="e">
        <f>INT(G9/10^10)-INT(G9/10^11)*10</f>
        <v>#VALUE!</v>
      </c>
      <c r="AV13" s="206" t="e">
        <f>IF(AU13=1,REPLACE(1,1,1,"ده"),IF(AU13=2,REPLACE(2,1,1,"بیست"),IF(AU13=3,REPLACE(3,1,1,"سی"),IF(AU13=4,REPLACE(4,1,1,"چهل"),IF(AU13=5,REPLACE(5,1,1,"پنجاه"),"")))))</f>
        <v>#VALUE!</v>
      </c>
      <c r="AW13" s="206" t="e">
        <f>IF(AU13=6,REPLACE(6,1,1,"شصت"),IF(AU13=7,REPLACE(7,1,1,"هفتاد"),IF(AU13=8,REPLACE(8,1,1,"هشتاد"),IF(AU13=9,REPLACE(9,1,1,"نود"),""))))</f>
        <v>#VALUE!</v>
      </c>
      <c r="AX13" s="206" t="e">
        <f>IF(AU13=1,IF(AU14=0,"ده",IF(AU14=1,"یازده",IF(AU14=2,"دوازده",IF(AU14=3,"سیزده",IF(AU14=4,"چهارده",IF(AU14=5,"پانزده","")))))),"")</f>
        <v>#VALUE!</v>
      </c>
      <c r="AY13" s="206" t="e">
        <f>IF(AU13=1,IF(AU14=6,"شانزده",IF(AU14=7,"هفده",IF(AU14=8,"هجده",IF(AU14=9,"نوزده","")))),"")</f>
        <v>#VALUE!</v>
      </c>
      <c r="AZ13" s="206" t="e">
        <f>IF(AU13=1,IF(AU14&lt;6,AX13,AY13),IF(AU13&lt;6,AV13,AW13))</f>
        <v>#VALUE!</v>
      </c>
      <c r="BA13" s="206" t="e">
        <f>IF(AU13&lt;2,"",IF(AU14=0,""," و "))</f>
        <v>#VALUE!</v>
      </c>
      <c r="BB13" s="206"/>
      <c r="BC13" s="207"/>
      <c r="BD13" s="197"/>
      <c r="BE13" s="202">
        <f>INT(J14/10^10)-INT(J14/10^11)*10</f>
        <v>0</v>
      </c>
      <c r="BF13" s="206" t="str">
        <f>IF(BE13=1,REPLACE(1,1,1,"ده"),IF(BE13=2,REPLACE(2,1,1,"بیست"),IF(BE13=3,REPLACE(3,1,1,"سی"),IF(BE13=4,REPLACE(4,1,1,"چهل"),IF(BE13=5,REPLACE(5,1,1,"پنجاه"),"")))))</f>
        <v/>
      </c>
      <c r="BG13" s="206" t="str">
        <f>IF(BE13=6,REPLACE(6,1,1,"شصت"),IF(BE13=7,REPLACE(7,1,1,"هفتاد"),IF(BE13=8,REPLACE(8,1,1,"هشتاد"),IF(BE13=9,REPLACE(9,1,1,"نود"),""))))</f>
        <v/>
      </c>
      <c r="BH13" s="206" t="str">
        <f>IF(BE13=1,IF(BE14=0,"ده",IF(BE14=1,"یازده",IF(BE14=2,"دوازده",IF(BE14=3,"سیزده",IF(BE14=4,"چهارده",IF(BE14=5,"پانزده","")))))),"")</f>
        <v/>
      </c>
      <c r="BI13" s="206" t="str">
        <f>IF(BE13=1,IF(BE14=6,"شانزده",IF(BE14=7,"هفده",IF(BE14=8,"هجده",IF(BE14=9,"نوزده","")))),"")</f>
        <v/>
      </c>
      <c r="BJ13" s="206" t="str">
        <f>IF(BE13=1,IF(BE14&lt;6,BH13,BI13),IF(BE13&lt;6,BF13,BG13))</f>
        <v/>
      </c>
      <c r="BK13" s="206" t="str">
        <f>IF(BE13&lt;2,"",IF(BE14=0,""," و "))</f>
        <v/>
      </c>
      <c r="BL13" s="206"/>
      <c r="BM13" s="207"/>
      <c r="BN13" s="197"/>
      <c r="BO13" s="202">
        <f>INT(J16/10^10)-INT(J16/10^11)*10</f>
        <v>0</v>
      </c>
      <c r="BP13" s="206" t="str">
        <f>IF(BO13=1,REPLACE(1,1,1,"ده"),IF(BO13=2,REPLACE(2,1,1,"بیست"),IF(BO13=3,REPLACE(3,1,1,"سی"),IF(BO13=4,REPLACE(4,1,1,"چهل"),IF(BO13=5,REPLACE(5,1,1,"پنجاه"),"")))))</f>
        <v/>
      </c>
      <c r="BQ13" s="206" t="str">
        <f>IF(BO13=6,REPLACE(6,1,1,"شصت"),IF(BO13=7,REPLACE(7,1,1,"هفتاد"),IF(BO13=8,REPLACE(8,1,1,"هشتاد"),IF(BO13=9,REPLACE(9,1,1,"نود"),""))))</f>
        <v/>
      </c>
      <c r="BR13" s="206" t="str">
        <f>IF(BO13=1,IF(BO14=0,"ده",IF(BO14=1,"یازده",IF(BO14=2,"دوازده",IF(BO14=3,"سیزده",IF(BO14=4,"چهارده",IF(BO14=5,"پانزده","")))))),"")</f>
        <v/>
      </c>
      <c r="BS13" s="206" t="str">
        <f>IF(BO13=1,IF(BO14=6,"شانزده",IF(BO14=7,"هفده",IF(BO14=8,"هجده",IF(BO14=9,"نوزده","")))),"")</f>
        <v/>
      </c>
      <c r="BT13" s="206" t="str">
        <f>IF(BO13=1,IF(BO14&lt;6,BR13,BS13),IF(BO13&lt;6,BP13,BQ13))</f>
        <v/>
      </c>
      <c r="BU13" s="206" t="str">
        <f>IF(BO13&lt;2,"",IF(BO14=0,""," و "))</f>
        <v/>
      </c>
      <c r="BV13" s="206"/>
      <c r="BW13" s="207"/>
      <c r="BY13" s="230"/>
    </row>
    <row r="14" spans="1:77" ht="29.25" customHeight="1" thickBot="1">
      <c r="A14" s="445"/>
      <c r="B14" s="446"/>
      <c r="C14" s="446"/>
      <c r="D14" s="446"/>
      <c r="E14" s="446"/>
      <c r="F14" s="447"/>
      <c r="G14" s="439"/>
      <c r="H14" s="440"/>
      <c r="I14" s="441"/>
      <c r="J14" s="463"/>
      <c r="K14" s="464"/>
      <c r="L14" s="465"/>
      <c r="M14" s="458"/>
      <c r="N14" s="459"/>
      <c r="Q14" s="198" t="e">
        <f>INT(J9/10^9)-INT(J9/10^10)*10</f>
        <v>#VALUE!</v>
      </c>
      <c r="R14" s="204" t="e">
        <f>IF(Q14=1,REPLACE(1,1,1,"یک"),IF(Q14=2,REPLACE(2,1,1,"دو"),IF(Q14=3,REPLACE(3,1,1,"سه"),IF(Q14=4,REPLACE(4,1,1,"چهار"),IF(Q14=5,REPLACE(5,1,1,"پنج"),"")))))</f>
        <v>#VALUE!</v>
      </c>
      <c r="S14" s="204" t="e">
        <f>IF(Q14=6,REPLACE(6,1,1,"شش"),IF(Q14=7,REPLACE(7,1,1,"هفت"),IF(Q14=8,REPLACE(8,1,1,"هشت"),IF(Q14=9,REPLACE(9,1,1,"نه"),""))))</f>
        <v>#VALUE!</v>
      </c>
      <c r="T14" s="204"/>
      <c r="U14" s="204"/>
      <c r="V14" s="204" t="e">
        <f>IF(Q13=1,"",IF(Q14&lt;6,R14,S14))</f>
        <v>#VALUE!</v>
      </c>
      <c r="W14" s="204"/>
      <c r="X14" s="204" t="e">
        <f>IF((Q10+Q13+Q14)=0,""," میلیارد")</f>
        <v>#VALUE!</v>
      </c>
      <c r="Y14" s="205" t="str">
        <f>IF((Q15+Q16+Q17=0),"",IF(Q14+Q13+Q10=0,""," و "))</f>
        <v/>
      </c>
      <c r="Z14" s="196"/>
      <c r="AA14" s="198">
        <f>INT(M14/10^9)-INT(M14/10^10)*10</f>
        <v>0</v>
      </c>
      <c r="AB14" s="204" t="str">
        <f>IF(AA14=1,REPLACE(1,1,1,"یک"),IF(AA14=2,REPLACE(2,1,1,"دو"),IF(AA14=3,REPLACE(3,1,1,"سه"),IF(AA14=4,REPLACE(4,1,1,"چهار"),IF(AA14=5,REPLACE(5,1,1,"پنج"),"")))))</f>
        <v/>
      </c>
      <c r="AC14" s="204" t="str">
        <f>IF(AA14=6,REPLACE(6,1,1,"شش"),IF(AA14=7,REPLACE(7,1,1,"هفت"),IF(AA14=8,REPLACE(8,1,1,"هشت"),IF(AA14=9,REPLACE(9,1,1,"نه"),""))))</f>
        <v/>
      </c>
      <c r="AD14" s="204"/>
      <c r="AE14" s="204"/>
      <c r="AF14" s="204" t="str">
        <f>IF(AA13=1,"",IF(AA14&lt;6,AB14,AC14))</f>
        <v/>
      </c>
      <c r="AG14" s="204"/>
      <c r="AH14" s="204" t="str">
        <f>IF((AA10+AA13+AA14)=0,""," میلیارد")</f>
        <v/>
      </c>
      <c r="AI14" s="205" t="str">
        <f>IF((AA15+AA16+AA17=0),"",IF(AA14+AA13+AA10=0,""," و "))</f>
        <v/>
      </c>
      <c r="AJ14" s="206"/>
      <c r="AK14" s="198">
        <f>INT(M16/10^9)-INT(M16/10^10)*10</f>
        <v>0</v>
      </c>
      <c r="AL14" s="204" t="str">
        <f>IF(AK14=1,REPLACE(1,1,1,"یک"),IF(AK14=2,REPLACE(2,1,1,"دو"),IF(AK14=3,REPLACE(3,1,1,"سه"),IF(AK14=4,REPLACE(4,1,1,"چهار"),IF(AK14=5,REPLACE(5,1,1,"پنج"),"")))))</f>
        <v/>
      </c>
      <c r="AM14" s="204" t="str">
        <f>IF(AK14=6,REPLACE(6,1,1,"شش"),IF(AK14=7,REPLACE(7,1,1,"هفت"),IF(AK14=8,REPLACE(8,1,1,"هشت"),IF(AK14=9,REPLACE(9,1,1,"نه"),""))))</f>
        <v/>
      </c>
      <c r="AN14" s="204"/>
      <c r="AO14" s="204"/>
      <c r="AP14" s="204" t="str">
        <f>IF(AK13=1,"",IF(AK14&lt;6,AL14,AM14))</f>
        <v/>
      </c>
      <c r="AQ14" s="204"/>
      <c r="AR14" s="204" t="str">
        <f>IF((AK10+AK13+AK14)=0,""," میلیارد")</f>
        <v/>
      </c>
      <c r="AS14" s="205" t="str">
        <f>IF((AK15+AK16+AK17=0),"",IF(AK14+AK13+AK10=0,""," و "))</f>
        <v/>
      </c>
      <c r="AT14" s="204"/>
      <c r="AU14" s="202" t="e">
        <f>INT(G9/10^9)-INT(G9/10^10)*10</f>
        <v>#VALUE!</v>
      </c>
      <c r="AV14" s="206" t="e">
        <f>IF(AU14=1,REPLACE(1,1,1,"یک"),IF(AU14=2,REPLACE(2,1,1,"دو"),IF(AU14=3,REPLACE(3,1,1,"سه"),IF(AU14=4,REPLACE(4,1,1,"چهار"),IF(AU14=5,REPLACE(5,1,1,"پنج"),"")))))</f>
        <v>#VALUE!</v>
      </c>
      <c r="AW14" s="206" t="e">
        <f>IF(AU14=6,REPLACE(6,1,1,"شش"),IF(AU14=7,REPLACE(7,1,1,"هفت"),IF(AU14=8,REPLACE(8,1,1,"هشت"),IF(AU14=9,REPLACE(9,1,1,"نه"),""))))</f>
        <v>#VALUE!</v>
      </c>
      <c r="AX14" s="206"/>
      <c r="AY14" s="206"/>
      <c r="AZ14" s="206" t="e">
        <f>IF(AU13=1,"",IF(AU14&lt;6,AV14,AW14))</f>
        <v>#VALUE!</v>
      </c>
      <c r="BA14" s="206"/>
      <c r="BB14" s="206" t="e">
        <f>IF((AU10+AU13+AU14)=0,""," میلیارد")</f>
        <v>#VALUE!</v>
      </c>
      <c r="BC14" s="207" t="e">
        <f>IF((AU15+AU16+AU17=0),"",IF(AU14+AU13+AU10=0,""," و "))</f>
        <v>#VALUE!</v>
      </c>
      <c r="BD14" s="197"/>
      <c r="BE14" s="202">
        <f>INT(J14/10^9)-INT(J14/10^10)*10</f>
        <v>0</v>
      </c>
      <c r="BF14" s="206" t="str">
        <f>IF(BE14=1,REPLACE(1,1,1,"یک"),IF(BE14=2,REPLACE(2,1,1,"دو"),IF(BE14=3,REPLACE(3,1,1,"سه"),IF(BE14=4,REPLACE(4,1,1,"چهار"),IF(BE14=5,REPLACE(5,1,1,"پنج"),"")))))</f>
        <v/>
      </c>
      <c r="BG14" s="206" t="str">
        <f>IF(BE14=6,REPLACE(6,1,1,"شش"),IF(BE14=7,REPLACE(7,1,1,"هفت"),IF(BE14=8,REPLACE(8,1,1,"هشت"),IF(BE14=9,REPLACE(9,1,1,"نه"),""))))</f>
        <v/>
      </c>
      <c r="BH14" s="206"/>
      <c r="BI14" s="206"/>
      <c r="BJ14" s="206" t="str">
        <f>IF(BE13=1,"",IF(BE14&lt;6,BF14,BG14))</f>
        <v/>
      </c>
      <c r="BK14" s="206"/>
      <c r="BL14" s="206" t="str">
        <f>IF((BE10+BE13+BE14)=0,""," میلیارد")</f>
        <v/>
      </c>
      <c r="BM14" s="207" t="str">
        <f>IF((BE15+BE16+BE17=0),"",IF(BE14+BE13+BE10=0,""," و "))</f>
        <v/>
      </c>
      <c r="BN14" s="197"/>
      <c r="BO14" s="202">
        <f>INT(J16/10^9)-INT(J16/10^10)*10</f>
        <v>0</v>
      </c>
      <c r="BP14" s="206" t="str">
        <f>IF(BO14=1,REPLACE(1,1,1,"یک"),IF(BO14=2,REPLACE(2,1,1,"دو"),IF(BO14=3,REPLACE(3,1,1,"سه"),IF(BO14=4,REPLACE(4,1,1,"چهار"),IF(BO14=5,REPLACE(5,1,1,"پنج"),"")))))</f>
        <v/>
      </c>
      <c r="BQ14" s="206" t="str">
        <f>IF(BO14=6,REPLACE(6,1,1,"شش"),IF(BO14=7,REPLACE(7,1,1,"هفت"),IF(BO14=8,REPLACE(8,1,1,"هشت"),IF(BO14=9,REPLACE(9,1,1,"نه"),""))))</f>
        <v/>
      </c>
      <c r="BR14" s="206"/>
      <c r="BS14" s="206"/>
      <c r="BT14" s="206" t="str">
        <f>IF(BO13=1,"",IF(BO14&lt;6,BP14,BQ14))</f>
        <v/>
      </c>
      <c r="BU14" s="206"/>
      <c r="BV14" s="206" t="str">
        <f>IF((BO10+BO13+BO14)=0,""," میلیارد")</f>
        <v/>
      </c>
      <c r="BW14" s="207" t="str">
        <f>IF((BO15+BO16+BO17=0),"",IF(BO14+BO13+BO10=0,""," و "))</f>
        <v/>
      </c>
    </row>
    <row r="15" spans="1:77" ht="24" customHeight="1" thickBot="1">
      <c r="A15" s="423" t="s">
        <v>61</v>
      </c>
      <c r="B15" s="424"/>
      <c r="C15" s="424"/>
      <c r="D15" s="424"/>
      <c r="E15" s="424"/>
      <c r="F15" s="425"/>
      <c r="G15" s="436">
        <v>36353211539.281494</v>
      </c>
      <c r="H15" s="437"/>
      <c r="I15" s="438"/>
      <c r="J15" s="460"/>
      <c r="K15" s="461"/>
      <c r="L15" s="462"/>
      <c r="M15" s="456"/>
      <c r="N15" s="457"/>
      <c r="Q15" s="198">
        <f>INT(J11/10^10)-INT(J11/10^11)*10</f>
        <v>0</v>
      </c>
      <c r="R15" s="204" t="str">
        <f>IF(Q15=1,REPLACE(1,1,1,"ده"),IF(Q15=2,REPLACE(2,1,1,"بیست"),IF(Q15=3,REPLACE(3,1,1,"سی"),IF(Q15=4,REPLACE(4,1,1,"چهل"),IF(Q15=5,REPLACE(5,1,1,"پنجاه"),"")))))</f>
        <v/>
      </c>
      <c r="S15" s="204" t="str">
        <f>IF(Q15=6,REPLACE(6,1,1,"شصت"),IF(Q15=7,REPLACE(7,1,1,"هفتاد"),IF(Q15=8,REPLACE(8,1,1,"هشتاد"),IF(Q15=9,REPLACE(9,1,1,"نود"),""))))</f>
        <v/>
      </c>
      <c r="T15" s="204" t="str">
        <f>IF(Q15=1,IF(Q16=0,"ده",IF(Q16=1,"یازده",IF(Q16=2,"دوازده",IF(Q16=3,"سیزده",IF(Q16=4,"چهارده",IF(Q16=5,"پانزده","")))))),"")</f>
        <v/>
      </c>
      <c r="U15" s="204" t="str">
        <f>IF(Q15=1,IF(Q16=6,"شانزده",IF(Q16=7,"هفده",IF(Q16=8,"هجده",IF(Q16=9,"نوزده","")))),"")</f>
        <v/>
      </c>
      <c r="V15" s="204" t="str">
        <f>IF(Q15=1,IF(Q16&lt;6,T15,U15),IF(Q15&lt;6,R15,S15))</f>
        <v/>
      </c>
      <c r="W15" s="204" t="str">
        <f>IF(Q15&lt;2,"",IF(Q16=0,""," و "))</f>
        <v/>
      </c>
      <c r="X15" s="204"/>
      <c r="Y15" s="205"/>
      <c r="Z15" s="204"/>
      <c r="AA15" s="198">
        <f>INT(M16/10^10)-INT(M16/10^11)*10</f>
        <v>0</v>
      </c>
      <c r="AB15" s="204" t="str">
        <f>IF(AA15=1,REPLACE(1,1,1,"ده"),IF(AA15=2,REPLACE(2,1,1,"بیست"),IF(AA15=3,REPLACE(3,1,1,"سی"),IF(AA15=4,REPLACE(4,1,1,"چهل"),IF(AA15=5,REPLACE(5,1,1,"پنجاه"),"")))))</f>
        <v/>
      </c>
      <c r="AC15" s="204" t="str">
        <f>IF(AA15=6,REPLACE(6,1,1,"شصت"),IF(AA15=7,REPLACE(7,1,1,"هفتاد"),IF(AA15=8,REPLACE(8,1,1,"هشتاد"),IF(AA15=9,REPLACE(9,1,1,"نود"),""))))</f>
        <v/>
      </c>
      <c r="AD15" s="204" t="str">
        <f>IF(AA15=1,IF(AA16=0,"ده",IF(AA16=1,"یازده",IF(AA16=2,"دوازده",IF(AA16=3,"سیزده",IF(AA16=4,"چهارده",IF(AA16=5,"پانزده","")))))),"")</f>
        <v/>
      </c>
      <c r="AE15" s="204" t="str">
        <f>IF(AA15=1,IF(AA16=6,"شانزده",IF(AA16=7,"هفده",IF(AA16=8,"هجده",IF(AA16=9,"نوزده","")))),"")</f>
        <v/>
      </c>
      <c r="AF15" s="204" t="str">
        <f>IF(AA15=1,IF(AA16&lt;6,AD15,AE15),IF(AA15&lt;6,AB15,AC15))</f>
        <v/>
      </c>
      <c r="AG15" s="204" t="str">
        <f>IF(AA15&lt;2,"",IF(AA16=0,""," و "))</f>
        <v/>
      </c>
      <c r="AH15" s="204"/>
      <c r="AI15" s="205"/>
      <c r="AJ15" s="206"/>
      <c r="AK15" s="198">
        <f>INT(M18/10^10)-INT(M18/10^11)*10</f>
        <v>0</v>
      </c>
      <c r="AL15" s="204" t="str">
        <f>IF(AK15=1,REPLACE(1,1,1,"ده"),IF(AK15=2,REPLACE(2,1,1,"بیست"),IF(AK15=3,REPLACE(3,1,1,"سی"),IF(AK15=4,REPLACE(4,1,1,"چهل"),IF(AK15=5,REPLACE(5,1,1,"پنجاه"),"")))))</f>
        <v/>
      </c>
      <c r="AM15" s="204" t="str">
        <f>IF(AK15=6,REPLACE(6,1,1,"شصت"),IF(AK15=7,REPLACE(7,1,1,"هفتاد"),IF(AK15=8,REPLACE(8,1,1,"هشتاد"),IF(AK15=9,REPLACE(9,1,1,"نود"),""))))</f>
        <v/>
      </c>
      <c r="AN15" s="204" t="str">
        <f>IF(AK15=1,IF(AK16=0,"ده",IF(AK16=1,"یازده",IF(AK16=2,"دوازده",IF(AK16=3,"سیزده",IF(AK16=4,"چهارده",IF(AK16=5,"پانزده","")))))),"")</f>
        <v/>
      </c>
      <c r="AO15" s="204" t="str">
        <f>IF(AK15=1,IF(AK16=6,"شانزده",IF(AK16=7,"هفده",IF(AK16=8,"هجده",IF(AK16=9,"نوزده","")))),"")</f>
        <v/>
      </c>
      <c r="AP15" s="204" t="str">
        <f>IF(AK15=1,IF(AK16&lt;6,AN15,AO15),IF(AK15&lt;6,AL15,AM15))</f>
        <v/>
      </c>
      <c r="AQ15" s="204" t="str">
        <f>IF(AK15&lt;2,"",IF(AK16=0,""," و "))</f>
        <v/>
      </c>
      <c r="AR15" s="204"/>
      <c r="AS15" s="205"/>
      <c r="AT15" s="204"/>
      <c r="AU15" s="202">
        <f>INT(G11/10^10)-INT(G11/10^11)*10</f>
        <v>4</v>
      </c>
      <c r="AV15" s="206" t="str">
        <f>IF(AU15=1,REPLACE(1,1,1,"ده"),IF(AU15=2,REPLACE(2,1,1,"بیست"),IF(AU15=3,REPLACE(3,1,1,"سی"),IF(AU15=4,REPLACE(4,1,1,"چهل"),IF(AU15=5,REPLACE(5,1,1,"پنجاه"),"")))))</f>
        <v>چهل</v>
      </c>
      <c r="AW15" s="206" t="str">
        <f>IF(AU15=6,REPLACE(6,1,1,"شصت"),IF(AU15=7,REPLACE(7,1,1,"هفتاد"),IF(AU15=8,REPLACE(8,1,1,"هشتاد"),IF(AU15=9,REPLACE(9,1,1,"نود"),""))))</f>
        <v/>
      </c>
      <c r="AX15" s="206" t="str">
        <f>IF(AU15=1,IF(AU16=0,"ده",IF(AU16=1,"یازده",IF(AU16=2,"دوازده",IF(AU16=3,"سیزده",IF(AU16=4,"چهارده",IF(AU16=5,"پانزده","")))))),"")</f>
        <v/>
      </c>
      <c r="AY15" s="206" t="str">
        <f>IF(AU15=1,IF(AU16=6,"شانزده",IF(AU16=7,"هفده",IF(AU16=8,"هجده",IF(AU16=9,"نوزده","")))),"")</f>
        <v/>
      </c>
      <c r="AZ15" s="206" t="str">
        <f>IF(AU15=1,IF(AU16&lt;6,AX15,AY15),IF(AU15&lt;6,AV15,AW15))</f>
        <v>چهل</v>
      </c>
      <c r="BA15" s="206" t="str">
        <f>IF(AU15&lt;2,"",IF(AU16=0,""," و "))</f>
        <v/>
      </c>
      <c r="BB15" s="206"/>
      <c r="BC15" s="207"/>
      <c r="BD15" s="197"/>
      <c r="BE15" s="202">
        <f>INT(J16/10^10)-INT(J16/10^11)*10</f>
        <v>0</v>
      </c>
      <c r="BF15" s="206" t="str">
        <f>IF(BE15=1,REPLACE(1,1,1,"ده"),IF(BE15=2,REPLACE(2,1,1,"بیست"),IF(BE15=3,REPLACE(3,1,1,"سی"),IF(BE15=4,REPLACE(4,1,1,"چهل"),IF(BE15=5,REPLACE(5,1,1,"پنجاه"),"")))))</f>
        <v/>
      </c>
      <c r="BG15" s="206" t="str">
        <f>IF(BE15=6,REPLACE(6,1,1,"شصت"),IF(BE15=7,REPLACE(7,1,1,"هفتاد"),IF(BE15=8,REPLACE(8,1,1,"هشتاد"),IF(BE15=9,REPLACE(9,1,1,"نود"),""))))</f>
        <v/>
      </c>
      <c r="BH15" s="206" t="str">
        <f>IF(BE15=1,IF(BE16=0,"ده",IF(BE16=1,"یازده",IF(BE16=2,"دوازده",IF(BE16=3,"سیزده",IF(BE16=4,"چهارده",IF(BE16=5,"پانزده","")))))),"")</f>
        <v/>
      </c>
      <c r="BI15" s="206" t="str">
        <f>IF(BE15=1,IF(BE16=6,"شانزده",IF(BE16=7,"هفده",IF(BE16=8,"هجده",IF(BE16=9,"نوزده","")))),"")</f>
        <v/>
      </c>
      <c r="BJ15" s="206" t="str">
        <f>IF(BE15=1,IF(BE16&lt;6,BH15,BI15),IF(BE15&lt;6,BF15,BG15))</f>
        <v/>
      </c>
      <c r="BK15" s="206" t="str">
        <f>IF(BE15&lt;2,"",IF(BE16=0,""," و "))</f>
        <v/>
      </c>
      <c r="BL15" s="206"/>
      <c r="BM15" s="207"/>
      <c r="BN15" s="197"/>
      <c r="BO15" s="202">
        <f>INT(J18/10^10)-INT(J18/10^11)*10</f>
        <v>0</v>
      </c>
      <c r="BP15" s="206" t="str">
        <f>IF(BO15=1,REPLACE(1,1,1,"ده"),IF(BO15=2,REPLACE(2,1,1,"بیست"),IF(BO15=3,REPLACE(3,1,1,"سی"),IF(BO15=4,REPLACE(4,1,1,"چهل"),IF(BO15=5,REPLACE(5,1,1,"پنجاه"),"")))))</f>
        <v/>
      </c>
      <c r="BQ15" s="206" t="str">
        <f>IF(BO15=6,REPLACE(6,1,1,"شصت"),IF(BO15=7,REPLACE(7,1,1,"هفتاد"),IF(BO15=8,REPLACE(8,1,1,"هشتاد"),IF(BO15=9,REPLACE(9,1,1,"نود"),""))))</f>
        <v/>
      </c>
      <c r="BR15" s="206" t="str">
        <f>IF(BO15=1,IF(BO16=0,"ده",IF(BO16=1,"یازده",IF(BO16=2,"دوازده",IF(BO16=3,"سیزده",IF(BO16=4,"چهارده",IF(BO16=5,"پانزده","")))))),"")</f>
        <v/>
      </c>
      <c r="BS15" s="206" t="str">
        <f>IF(BO15=1,IF(BO16=6,"شانزده",IF(BO16=7,"هفده",IF(BO16=8,"هجده",IF(BO16=9,"نوزده","")))),"")</f>
        <v/>
      </c>
      <c r="BT15" s="206" t="str">
        <f>IF(BO15=1,IF(BO16&lt;6,BR15,BS15),IF(BO15&lt;6,BP15,BQ15))</f>
        <v/>
      </c>
      <c r="BU15" s="206" t="str">
        <f>IF(BO15&lt;2,"",IF(BO16=0,""," و "))</f>
        <v/>
      </c>
      <c r="BV15" s="206"/>
      <c r="BW15" s="207"/>
      <c r="BY15" s="230"/>
    </row>
    <row r="16" spans="1:77" ht="24" customHeight="1" thickBot="1">
      <c r="A16" s="420"/>
      <c r="B16" s="421"/>
      <c r="C16" s="421"/>
      <c r="D16" s="421"/>
      <c r="E16" s="421"/>
      <c r="F16" s="422"/>
      <c r="G16" s="439"/>
      <c r="H16" s="440"/>
      <c r="I16" s="441"/>
      <c r="J16" s="463"/>
      <c r="K16" s="464"/>
      <c r="L16" s="465"/>
      <c r="M16" s="458"/>
      <c r="N16" s="459"/>
      <c r="Q16" s="198">
        <f>INT(J11/10^9)-INT(J11/10^10)*10</f>
        <v>0</v>
      </c>
      <c r="R16" s="204" t="str">
        <f>IF(Q16=1,REPLACE(1,1,1,"یک"),IF(Q16=2,REPLACE(2,1,1,"دو"),IF(Q16=3,REPLACE(3,1,1,"سه"),IF(Q16=4,REPLACE(4,1,1,"چهار"),IF(Q16=5,REPLACE(5,1,1,"پنج"),"")))))</f>
        <v/>
      </c>
      <c r="S16" s="204" t="str">
        <f>IF(Q16=6,REPLACE(6,1,1,"شش"),IF(Q16=7,REPLACE(7,1,1,"هفت"),IF(Q16=8,REPLACE(8,1,1,"هشت"),IF(Q16=9,REPLACE(9,1,1,"نه"),""))))</f>
        <v/>
      </c>
      <c r="T16" s="204"/>
      <c r="U16" s="204"/>
      <c r="V16" s="204" t="str">
        <f>IF(Q15=1,"",IF(Q16&lt;6,R16,S16))</f>
        <v/>
      </c>
      <c r="W16" s="204"/>
      <c r="X16" s="204" t="str">
        <f>IF((Q12+Q15+Q16)=0,""," میلیارد")</f>
        <v/>
      </c>
      <c r="Y16" s="205" t="str">
        <f>IF((Q17+Q18+Q19=0),"",IF(Q16+Q15+Q12=0,""," و "))</f>
        <v/>
      </c>
      <c r="Z16" s="196"/>
      <c r="AA16" s="198">
        <f>INT(M16/10^9)-INT(M16/10^10)*10</f>
        <v>0</v>
      </c>
      <c r="AB16" s="204" t="str">
        <f>IF(AA16=1,REPLACE(1,1,1,"یک"),IF(AA16=2,REPLACE(2,1,1,"دو"),IF(AA16=3,REPLACE(3,1,1,"سه"),IF(AA16=4,REPLACE(4,1,1,"چهار"),IF(AA16=5,REPLACE(5,1,1,"پنج"),"")))))</f>
        <v/>
      </c>
      <c r="AC16" s="204" t="str">
        <f>IF(AA16=6,REPLACE(6,1,1,"شش"),IF(AA16=7,REPLACE(7,1,1,"هفت"),IF(AA16=8,REPLACE(8,1,1,"هشت"),IF(AA16=9,REPLACE(9,1,1,"نه"),""))))</f>
        <v/>
      </c>
      <c r="AD16" s="204"/>
      <c r="AE16" s="204"/>
      <c r="AF16" s="204" t="str">
        <f>IF(AA15=1,"",IF(AA16&lt;6,AB16,AC16))</f>
        <v/>
      </c>
      <c r="AG16" s="204"/>
      <c r="AH16" s="204" t="str">
        <f>IF((AA12+AA15+AA16)=0,""," میلیارد")</f>
        <v/>
      </c>
      <c r="AI16" s="205" t="str">
        <f>IF((AA17+AA18+AA19=0),"",IF(AA16+AA15+AA12=0,""," و "))</f>
        <v/>
      </c>
      <c r="AJ16" s="206"/>
      <c r="AK16" s="198">
        <f>INT(M18/10^9)-INT(M18/10^10)*10</f>
        <v>0</v>
      </c>
      <c r="AL16" s="204" t="str">
        <f>IF(AK16=1,REPLACE(1,1,1,"یک"),IF(AK16=2,REPLACE(2,1,1,"دو"),IF(AK16=3,REPLACE(3,1,1,"سه"),IF(AK16=4,REPLACE(4,1,1,"چهار"),IF(AK16=5,REPLACE(5,1,1,"پنج"),"")))))</f>
        <v/>
      </c>
      <c r="AM16" s="204" t="str">
        <f>IF(AK16=6,REPLACE(6,1,1,"شش"),IF(AK16=7,REPLACE(7,1,1,"هفت"),IF(AK16=8,REPLACE(8,1,1,"هشت"),IF(AK16=9,REPLACE(9,1,1,"نه"),""))))</f>
        <v/>
      </c>
      <c r="AN16" s="204"/>
      <c r="AO16" s="204"/>
      <c r="AP16" s="204" t="str">
        <f>IF(AK15=1,"",IF(AK16&lt;6,AL16,AM16))</f>
        <v/>
      </c>
      <c r="AQ16" s="204"/>
      <c r="AR16" s="204" t="str">
        <f>IF((AK12+AK15+AK16)=0,""," میلیارد")</f>
        <v/>
      </c>
      <c r="AS16" s="205" t="str">
        <f>IF((AK17+AK18+AK19=0),"",IF(AK16+AK15+AK12=0,""," و "))</f>
        <v/>
      </c>
      <c r="AT16" s="204"/>
      <c r="AU16" s="202">
        <f>INT(G11/10^9)-INT(G11/10^10)*10</f>
        <v>0</v>
      </c>
      <c r="AV16" s="206" t="str">
        <f>IF(AU16=1,REPLACE(1,1,1,"یک"),IF(AU16=2,REPLACE(2,1,1,"دو"),IF(AU16=3,REPLACE(3,1,1,"سه"),IF(AU16=4,REPLACE(4,1,1,"چهار"),IF(AU16=5,REPLACE(5,1,1,"پنج"),"")))))</f>
        <v/>
      </c>
      <c r="AW16" s="206" t="str">
        <f>IF(AU16=6,REPLACE(6,1,1,"شش"),IF(AU16=7,REPLACE(7,1,1,"هفت"),IF(AU16=8,REPLACE(8,1,1,"هشت"),IF(AU16=9,REPLACE(9,1,1,"نه"),""))))</f>
        <v/>
      </c>
      <c r="AX16" s="206"/>
      <c r="AY16" s="206"/>
      <c r="AZ16" s="206" t="str">
        <f>IF(AU15=1,"",IF(AU16&lt;6,AV16,AW16))</f>
        <v/>
      </c>
      <c r="BA16" s="206"/>
      <c r="BB16" s="206" t="str">
        <f>IF((AU12+AU15+AU16)=0,""," میلیارد")</f>
        <v xml:space="preserve"> میلیارد</v>
      </c>
      <c r="BC16" s="207" t="str">
        <f>IF((AU17+AU18+AU19=0),"",IF(AU16+AU15+AU12=0,""," و "))</f>
        <v xml:space="preserve"> و </v>
      </c>
      <c r="BD16" s="197"/>
      <c r="BE16" s="202">
        <f>INT(J16/10^9)-INT(J16/10^10)*10</f>
        <v>0</v>
      </c>
      <c r="BF16" s="206" t="str">
        <f>IF(BE16=1,REPLACE(1,1,1,"یک"),IF(BE16=2,REPLACE(2,1,1,"دو"),IF(BE16=3,REPLACE(3,1,1,"سه"),IF(BE16=4,REPLACE(4,1,1,"چهار"),IF(BE16=5,REPLACE(5,1,1,"پنج"),"")))))</f>
        <v/>
      </c>
      <c r="BG16" s="206" t="str">
        <f>IF(BE16=6,REPLACE(6,1,1,"شش"),IF(BE16=7,REPLACE(7,1,1,"هفت"),IF(BE16=8,REPLACE(8,1,1,"هشت"),IF(BE16=9,REPLACE(9,1,1,"نه"),""))))</f>
        <v/>
      </c>
      <c r="BH16" s="206"/>
      <c r="BI16" s="206"/>
      <c r="BJ16" s="206" t="str">
        <f>IF(BE15=1,"",IF(BE16&lt;6,BF16,BG16))</f>
        <v/>
      </c>
      <c r="BK16" s="206"/>
      <c r="BL16" s="206" t="str">
        <f>IF((BE12+BE15+BE16)=0,""," میلیارد")</f>
        <v/>
      </c>
      <c r="BM16" s="207" t="str">
        <f>IF((BE17+BE18+BE19=0),"",IF(BE16+BE15+BE12=0,""," و "))</f>
        <v/>
      </c>
      <c r="BN16" s="197"/>
      <c r="BO16" s="202">
        <f>INT(J18/10^9)-INT(J18/10^10)*10</f>
        <v>0</v>
      </c>
      <c r="BP16" s="206" t="str">
        <f>IF(BO16=1,REPLACE(1,1,1,"یک"),IF(BO16=2,REPLACE(2,1,1,"دو"),IF(BO16=3,REPLACE(3,1,1,"سه"),IF(BO16=4,REPLACE(4,1,1,"چهار"),IF(BO16=5,REPLACE(5,1,1,"پنج"),"")))))</f>
        <v/>
      </c>
      <c r="BQ16" s="206" t="str">
        <f>IF(BO16=6,REPLACE(6,1,1,"شش"),IF(BO16=7,REPLACE(7,1,1,"هفت"),IF(BO16=8,REPLACE(8,1,1,"هشت"),IF(BO16=9,REPLACE(9,1,1,"نه"),""))))</f>
        <v/>
      </c>
      <c r="BR16" s="206"/>
      <c r="BS16" s="206"/>
      <c r="BT16" s="206" t="str">
        <f>IF(BO15=1,"",IF(BO16&lt;6,BP16,BQ16))</f>
        <v/>
      </c>
      <c r="BU16" s="206"/>
      <c r="BV16" s="206" t="str">
        <f>IF((BO12+BO15+BO16)=0,""," میلیارد")</f>
        <v/>
      </c>
      <c r="BW16" s="207" t="str">
        <f>IF((BO17+BO18+BO19=0),"",IF(BO16+BO15+BO12=0,""," و "))</f>
        <v/>
      </c>
    </row>
    <row r="17" spans="1:75" ht="24" customHeight="1" thickBot="1">
      <c r="A17" s="417" t="s">
        <v>93</v>
      </c>
      <c r="B17" s="418"/>
      <c r="C17" s="418"/>
      <c r="D17" s="418"/>
      <c r="E17" s="418"/>
      <c r="F17" s="419"/>
      <c r="G17" s="436">
        <f>G13-G15</f>
        <v>7415187752.6468353</v>
      </c>
      <c r="H17" s="437"/>
      <c r="I17" s="438"/>
      <c r="J17" s="460">
        <f>J11-J15</f>
        <v>0</v>
      </c>
      <c r="K17" s="461"/>
      <c r="L17" s="462"/>
      <c r="M17" s="456"/>
      <c r="N17" s="457"/>
      <c r="Q17" s="198">
        <f>INT(J11/10^8)-INT(J11/10^9)*10</f>
        <v>0</v>
      </c>
      <c r="R17" s="204" t="str">
        <f>IF(Q17=1,REPLACE(1,1,1,"صد"),IF(Q17=2,REPLACE(2,1,1,"دویست"),IF(Q17=3,REPLACE(3,1,1,"سیصد"),IF(Q17=4,REPLACE(4,1,1,"چهارصد"),IF(Q17=5,REPLACE(5,1,1,"پانصد"),"")))))</f>
        <v/>
      </c>
      <c r="S17" s="204" t="str">
        <f>IF(Q17=6,REPLACE(6,1,1,"ششصد"),IF(Q17=7,REPLACE(7,1,1,"هفتصد"),IF(Q17=8,REPLACE(8,1,1,"هشتصد"),IF(Q17=9,REPLACE(9,1,1,"نهصد"),""))))</f>
        <v/>
      </c>
      <c r="T17" s="204"/>
      <c r="U17" s="204"/>
      <c r="V17" s="204" t="str">
        <f t="shared" ref="V17:V23" si="0">IF(Q17&lt;6,R17,S17)</f>
        <v/>
      </c>
      <c r="W17" s="204" t="str">
        <f>IF(Q17=0,"",IF(Q18=0,""," و "))</f>
        <v/>
      </c>
      <c r="X17" s="204"/>
      <c r="Y17" s="205"/>
      <c r="Z17" s="196"/>
      <c r="AA17" s="198">
        <f>INT(M16/10^8)-INT(M16/10^9)*10</f>
        <v>0</v>
      </c>
      <c r="AB17" s="204" t="str">
        <f>IF(AA17=1,REPLACE(1,1,1,"صد"),IF(AA17=2,REPLACE(2,1,1,"دویست"),IF(AA17=3,REPLACE(3,1,1,"سیصد"),IF(AA17=4,REPLACE(4,1,1,"چهارصد"),IF(AA17=5,REPLACE(5,1,1,"پانصد"),"")))))</f>
        <v/>
      </c>
      <c r="AC17" s="204" t="str">
        <f>IF(AA17=6,REPLACE(6,1,1,"ششصد"),IF(AA17=7,REPLACE(7,1,1,"هفتصد"),IF(AA17=8,REPLACE(8,1,1,"هشتصد"),IF(AA17=9,REPLACE(9,1,1,"نهصد"),""))))</f>
        <v/>
      </c>
      <c r="AD17" s="204"/>
      <c r="AE17" s="204"/>
      <c r="AF17" s="204" t="str">
        <f>IF(AA17&lt;6,AB17,AC17)</f>
        <v/>
      </c>
      <c r="AG17" s="204" t="str">
        <f>IF(AA17=0,"",IF(AA18=0,""," و "))</f>
        <v/>
      </c>
      <c r="AH17" s="204"/>
      <c r="AI17" s="205"/>
      <c r="AJ17" s="206"/>
      <c r="AK17" s="198">
        <f>INT(M18/10^8)-INT(M18/10^9)*10</f>
        <v>0</v>
      </c>
      <c r="AL17" s="204" t="str">
        <f>IF(AK17=1,REPLACE(1,1,1,"صد"),IF(AK17=2,REPLACE(2,1,1,"دویست"),IF(AK17=3,REPLACE(3,1,1,"سیصد"),IF(AK17=4,REPLACE(4,1,1,"چهارصد"),IF(AK17=5,REPLACE(5,1,1,"پانصد"),"")))))</f>
        <v/>
      </c>
      <c r="AM17" s="204" t="str">
        <f>IF(AK17=6,REPLACE(6,1,1,"ششصد"),IF(AK17=7,REPLACE(7,1,1,"هفتصد"),IF(AK17=8,REPLACE(8,1,1,"هشتصد"),IF(AK17=9,REPLACE(9,1,1,"نهصد"),""))))</f>
        <v/>
      </c>
      <c r="AN17" s="204"/>
      <c r="AO17" s="204"/>
      <c r="AP17" s="204" t="str">
        <f>IF(AK17&lt;6,AL17,AM17)</f>
        <v/>
      </c>
      <c r="AQ17" s="204" t="str">
        <f>IF(AK17=0,"",IF(AK18=0,""," و "))</f>
        <v/>
      </c>
      <c r="AR17" s="204"/>
      <c r="AS17" s="205"/>
      <c r="AT17" s="204"/>
      <c r="AU17" s="202">
        <f>INT(G11/10^8)-INT(G11/10^9)*10</f>
        <v>1</v>
      </c>
      <c r="AV17" s="206" t="str">
        <f>IF(AU17=1,REPLACE(1,1,1,"صد"),IF(AU17=2,REPLACE(2,1,1,"دویست"),IF(AU17=3,REPLACE(3,1,1,"سیصد"),IF(AU17=4,REPLACE(4,1,1,"چهارصد"),IF(AU17=5,REPLACE(5,1,1,"پانصد"),"")))))</f>
        <v>صد</v>
      </c>
      <c r="AW17" s="206" t="str">
        <f>IF(AU17=6,REPLACE(6,1,1,"ششصد"),IF(AU17=7,REPLACE(7,1,1,"هفتصد"),IF(AU17=8,REPLACE(8,1,1,"هشتصد"),IF(AU17=9,REPLACE(9,1,1,"نهصد"),""))))</f>
        <v/>
      </c>
      <c r="AX17" s="206"/>
      <c r="AY17" s="206"/>
      <c r="AZ17" s="206" t="str">
        <f>IF(AU17&lt;6,AV17,AW17)</f>
        <v>صد</v>
      </c>
      <c r="BA17" s="206" t="str">
        <f>IF(AU17=0,"",IF(AU18=0,""," و "))</f>
        <v xml:space="preserve"> و </v>
      </c>
      <c r="BB17" s="206"/>
      <c r="BC17" s="207"/>
      <c r="BD17" s="197"/>
      <c r="BE17" s="202">
        <f>INT(J16/10^8)-INT(J16/10^9)*10</f>
        <v>0</v>
      </c>
      <c r="BF17" s="206" t="str">
        <f>IF(BE17=1,REPLACE(1,1,1,"صد"),IF(BE17=2,REPLACE(2,1,1,"دویست"),IF(BE17=3,REPLACE(3,1,1,"سیصد"),IF(BE17=4,REPLACE(4,1,1,"چهارصد"),IF(BE17=5,REPLACE(5,1,1,"پانصد"),"")))))</f>
        <v/>
      </c>
      <c r="BG17" s="206" t="str">
        <f>IF(BE17=6,REPLACE(6,1,1,"ششصد"),IF(BE17=7,REPLACE(7,1,1,"هفتصد"),IF(BE17=8,REPLACE(8,1,1,"هشتصد"),IF(BE17=9,REPLACE(9,1,1,"نهصد"),""))))</f>
        <v/>
      </c>
      <c r="BH17" s="206"/>
      <c r="BI17" s="206"/>
      <c r="BJ17" s="206" t="str">
        <f>IF(BE17&lt;6,BF17,BG17)</f>
        <v/>
      </c>
      <c r="BK17" s="206"/>
      <c r="BL17" s="206"/>
      <c r="BM17" s="207"/>
      <c r="BN17" s="197"/>
      <c r="BO17" s="202">
        <f>INT(J18/10^8)-INT(J18/10^9)*10</f>
        <v>0</v>
      </c>
      <c r="BP17" s="206" t="str">
        <f>IF(BO17=1,REPLACE(1,1,1,"صد"),IF(BO17=2,REPLACE(2,1,1,"دویست"),IF(BO17=3,REPLACE(3,1,1,"سیصد"),IF(BO17=4,REPLACE(4,1,1,"چهارصد"),IF(BO17=5,REPLACE(5,1,1,"پانصد"),"")))))</f>
        <v/>
      </c>
      <c r="BQ17" s="206" t="str">
        <f>IF(BO17=6,REPLACE(6,1,1,"ششصد"),IF(BO17=7,REPLACE(7,1,1,"هفتصد"),IF(BO17=8,REPLACE(8,1,1,"هشتصد"),IF(BO17=9,REPLACE(9,1,1,"نهصد"),""))))</f>
        <v/>
      </c>
      <c r="BR17" s="206"/>
      <c r="BS17" s="206"/>
      <c r="BT17" s="206" t="str">
        <f>IF(BO17&lt;6,BP17,BQ17)</f>
        <v/>
      </c>
      <c r="BU17" s="206" t="str">
        <f>IF(BO17=0,"",IF(BO18=0,""," و "))</f>
        <v/>
      </c>
      <c r="BV17" s="206"/>
      <c r="BW17" s="207"/>
    </row>
    <row r="18" spans="1:75" ht="24" customHeight="1" thickBot="1">
      <c r="A18" s="420"/>
      <c r="B18" s="421"/>
      <c r="C18" s="421"/>
      <c r="D18" s="421"/>
      <c r="E18" s="421"/>
      <c r="F18" s="422"/>
      <c r="G18" s="439"/>
      <c r="H18" s="440"/>
      <c r="I18" s="441"/>
      <c r="J18" s="463"/>
      <c r="K18" s="464"/>
      <c r="L18" s="465"/>
      <c r="M18" s="458"/>
      <c r="N18" s="459"/>
      <c r="Q18" s="198">
        <f>INT(J11/10^7)-INT(J11/10^8)*10</f>
        <v>0</v>
      </c>
      <c r="R18" s="204" t="str">
        <f>IF(Q18=1,REPLACE(1,1,1,"ده"),IF(Q18=2,REPLACE(2,1,1,"بیست"),IF(Q18=3,REPLACE(3,1,1,"سی"),IF(Q18=4,REPLACE(4,1,1,"چهل"),IF(Q18=5,REPLACE(5,1,1,"پنجاه"),"")))))</f>
        <v/>
      </c>
      <c r="S18" s="204" t="str">
        <f>IF(Q18=6,REPLACE(6,1,1,"شصت"),IF(Q18=7,REPLACE(7,1,1,"هفتاد"),IF(Q18=8,REPLACE(8,1,1,"هشتاد"),IF(Q18=9,REPLACE(9,1,1,"نود"),""))))</f>
        <v/>
      </c>
      <c r="T18" s="204" t="str">
        <f>IF(Q18=1,IF(Q19=0,"ده",IF(Q19=1,"یازده",IF(Q19=2,"دوازده",IF(Q19=3,"سیزده",IF(Q19=4,"چهارده",IF(Q19=5,"پانزده","")))))),"")</f>
        <v/>
      </c>
      <c r="U18" s="204" t="str">
        <f>IF(Q18=1,IF(Q19=6,"شانزده",IF(Q19=7,"هفده",IF(Q19=8,"هجده",IF(Q19=9,"نوزده","")))),"")</f>
        <v/>
      </c>
      <c r="V18" s="204" t="str">
        <f>IF(Q18=1,IF(Q19&lt;6,T18,U18),IF(Q18&lt;6,R18,S18))</f>
        <v/>
      </c>
      <c r="W18" s="204" t="str">
        <f>IF(Q18&lt;2,"",IF(Q19=0,""," و "))</f>
        <v/>
      </c>
      <c r="X18" s="204"/>
      <c r="Y18" s="205"/>
      <c r="Z18" s="196"/>
      <c r="AA18" s="198">
        <f>INT(M16/10^7)-INT(M16/10^8)*10</f>
        <v>0</v>
      </c>
      <c r="AB18" s="204" t="str">
        <f>IF(AA18=1,REPLACE(1,1,1,"ده"),IF(AA18=2,REPLACE(2,1,1,"بیست"),IF(AA18=3,REPLACE(3,1,1,"سی"),IF(AA18=4,REPLACE(4,1,1,"چهل"),IF(AA18=5,REPLACE(5,1,1,"پنجاه"),"")))))</f>
        <v/>
      </c>
      <c r="AC18" s="204" t="str">
        <f>IF(AA18=6,REPLACE(6,1,1,"شصت"),IF(AA18=7,REPLACE(7,1,1,"هفتاد"),IF(AA18=8,REPLACE(8,1,1,"هشتاد"),IF(AA18=9,REPLACE(9,1,1,"نود"),""))))</f>
        <v/>
      </c>
      <c r="AD18" s="204" t="str">
        <f>IF(AA18=1,IF(AA19=0,"ده",IF(AA19=1,"یازده",IF(AA19=2,"دوازده",IF(AA19=3,"سیزده",IF(AA19=4,"چهارده",IF(AA19=5,"پانزده","")))))),"")</f>
        <v/>
      </c>
      <c r="AE18" s="204" t="str">
        <f>IF(AA18=1,IF(AA19=6,"شانزده",IF(AA19=7,"هفده",IF(AA19=8,"هجده",IF(AA19=9,"نوزده","")))),"")</f>
        <v/>
      </c>
      <c r="AF18" s="204" t="str">
        <f>IF(AA18=1,IF(AA19&lt;6,AD18,AE18),IF(AA18&lt;6,AB18,AC18))</f>
        <v/>
      </c>
      <c r="AG18" s="204" t="str">
        <f>IF(AA18&lt;2,"",IF(AA19=0,""," و "))</f>
        <v/>
      </c>
      <c r="AH18" s="204"/>
      <c r="AI18" s="205"/>
      <c r="AJ18" s="206"/>
      <c r="AK18" s="198">
        <f>INT(M18/10^7)-INT(M18/10^8)*10</f>
        <v>0</v>
      </c>
      <c r="AL18" s="204" t="str">
        <f>IF(AK18=1,REPLACE(1,1,1,"ده"),IF(AK18=2,REPLACE(2,1,1,"بیست"),IF(AK18=3,REPLACE(3,1,1,"سی"),IF(AK18=4,REPLACE(4,1,1,"چهل"),IF(AK18=5,REPLACE(5,1,1,"پنجاه"),"")))))</f>
        <v/>
      </c>
      <c r="AM18" s="204" t="str">
        <f>IF(AK18=6,REPLACE(6,1,1,"شصت"),IF(AK18=7,REPLACE(7,1,1,"هفتاد"),IF(AK18=8,REPLACE(8,1,1,"هشتاد"),IF(AK18=9,REPLACE(9,1,1,"نود"),""))))</f>
        <v/>
      </c>
      <c r="AN18" s="204" t="str">
        <f>IF(AK18=1,IF(AK19=0,"ده",IF(AK19=1,"یازده",IF(AK19=2,"دوازده",IF(AK19=3,"سیزده",IF(AK19=4,"چهارده",IF(AK19=5,"پانزده","")))))),"")</f>
        <v/>
      </c>
      <c r="AO18" s="204" t="str">
        <f>IF(AK18=1,IF(AK19=6,"شانزده",IF(AK19=7,"هفده",IF(AK19=8,"هجده",IF(AK19=9,"نوزده","")))),"")</f>
        <v/>
      </c>
      <c r="AP18" s="204" t="str">
        <f>IF(AK18=1,IF(AK19&lt;6,AN18,AO18),IF(AK18&lt;6,AL18,AM18))</f>
        <v/>
      </c>
      <c r="AQ18" s="204" t="str">
        <f>IF(AK18&lt;2,"",IF(AK19=0,""," و "))</f>
        <v/>
      </c>
      <c r="AR18" s="204"/>
      <c r="AS18" s="205"/>
      <c r="AT18" s="204"/>
      <c r="AU18" s="202">
        <f>INT(G11/10^7)-INT(G11/10^8)*10</f>
        <v>5</v>
      </c>
      <c r="AV18" s="206" t="str">
        <f>IF(AU18=1,REPLACE(1,1,1,"ده"),IF(AU18=2,REPLACE(2,1,1,"بیست"),IF(AU18=3,REPLACE(3,1,1,"سی"),IF(AU18=4,REPLACE(4,1,1,"چهل"),IF(AU18=5,REPLACE(5,1,1,"پنجاه"),"")))))</f>
        <v>پنجاه</v>
      </c>
      <c r="AW18" s="206" t="str">
        <f>IF(AU18=6,REPLACE(6,1,1,"شصت"),IF(AU18=7,REPLACE(7,1,1,"هفتاد"),IF(AU18=8,REPLACE(8,1,1,"هشتاد"),IF(AU18=9,REPLACE(9,1,1,"نود"),""))))</f>
        <v/>
      </c>
      <c r="AX18" s="206" t="str">
        <f>IF(AU18=1,IF(AU19=0,"ده",IF(AU19=1,"یازده",IF(AU19=2,"دوازده",IF(AU19=3,"سیزده",IF(AU19=4,"چهارده",IF(AU19=5,"پانزده","")))))),"")</f>
        <v/>
      </c>
      <c r="AY18" s="206" t="str">
        <f>IF(AU18=1,IF(AU19=6,"شانزده",IF(AU19=7,"هفده",IF(AU19=8,"هجده",IF(AU19=9,"نوزده","")))),"")</f>
        <v/>
      </c>
      <c r="AZ18" s="206" t="str">
        <f>IF(AU18=1,IF(AU19&lt;6,AX18,AY18),IF(AU18&lt;6,AV18,AW18))</f>
        <v>پنجاه</v>
      </c>
      <c r="BA18" s="206" t="str">
        <f>IF(AU18&lt;2,"",IF(AU19=0,""," و "))</f>
        <v xml:space="preserve"> و </v>
      </c>
      <c r="BB18" s="206"/>
      <c r="BC18" s="207"/>
      <c r="BD18" s="197"/>
      <c r="BE18" s="202">
        <f>INT(J16/10^7)-INT(J16/10^8)*10</f>
        <v>0</v>
      </c>
      <c r="BF18" s="206" t="str">
        <f>IF(BE18=1,REPLACE(1,1,1,"ده"),IF(BE18=2,REPLACE(2,1,1,"بیست"),IF(BE18=3,REPLACE(3,1,1,"سی"),IF(BE18=4,REPLACE(4,1,1,"چهل"),IF(BE18=5,REPLACE(5,1,1,"پنجاه"),"")))))</f>
        <v/>
      </c>
      <c r="BG18" s="206" t="str">
        <f>IF(BE18=6,REPLACE(6,1,1,"شصت"),IF(BE18=7,REPLACE(7,1,1,"هفتاد"),IF(BE18=8,REPLACE(8,1,1,"هشتاد"),IF(BE18=9,REPLACE(9,1,1,"نود"),""))))</f>
        <v/>
      </c>
      <c r="BH18" s="206" t="str">
        <f>IF(BE18=1,IF(BE19=0,"ده",IF(BE19=1,"یازده",IF(BE19=2,"دوازده",IF(BE19=3,"سیزده",IF(BE19=4,"چهارده",IF(BE19=5,"پانزده","")))))),"")</f>
        <v/>
      </c>
      <c r="BI18" s="206" t="str">
        <f>IF(BE18=1,IF(BE19=6,"شانزده",IF(BE19=7,"هفده",IF(BE19=8,"هجده",IF(BE19=9,"نوزده","")))),"")</f>
        <v/>
      </c>
      <c r="BJ18" s="206" t="str">
        <f>IF(BE18=1,IF(BE19&lt;6,BH18,BI18),IF(BE18&lt;6,BF18,BG18))</f>
        <v/>
      </c>
      <c r="BK18" s="206" t="str">
        <f>IF(BE18&lt;2,"",IF(BE19=0,""," و "))</f>
        <v/>
      </c>
      <c r="BL18" s="206"/>
      <c r="BM18" s="207"/>
      <c r="BN18" s="197"/>
      <c r="BO18" s="202">
        <f>INT(J18/10^7)-INT(J18/10^8)*10</f>
        <v>0</v>
      </c>
      <c r="BP18" s="206" t="str">
        <f>IF(BO18=1,REPLACE(1,1,1,"ده"),IF(BO18=2,REPLACE(2,1,1,"بیست"),IF(BO18=3,REPLACE(3,1,1,"سی"),IF(BO18=4,REPLACE(4,1,1,"چهل"),IF(BO18=5,REPLACE(5,1,1,"پنجاه"),"")))))</f>
        <v/>
      </c>
      <c r="BQ18" s="206" t="str">
        <f>IF(BO18=6,REPLACE(6,1,1,"شصت"),IF(BO18=7,REPLACE(7,1,1,"هفتاد"),IF(BO18=8,REPLACE(8,1,1,"هشتاد"),IF(BO18=9,REPLACE(9,1,1,"نود"),""))))</f>
        <v/>
      </c>
      <c r="BR18" s="206" t="str">
        <f>IF(BO18=1,IF(BO19=0,"ده",IF(BO19=1,"یازده",IF(BO19=2,"دوازده",IF(BO19=3,"سیزده",IF(BO19=4,"چهارده",IF(BO19=5,"پانزده","")))))),"")</f>
        <v/>
      </c>
      <c r="BS18" s="206" t="str">
        <f>IF(BO18=1,IF(BO19=6,"شانزده",IF(BO19=7,"هفده",IF(BO19=8,"هجده",IF(BO19=9,"نوزده","")))),"")</f>
        <v/>
      </c>
      <c r="BT18" s="206" t="str">
        <f>IF(BO18=1,IF(BO19&lt;6,BR18,BS18),IF(BO18&lt;6,BP18,BQ18))</f>
        <v/>
      </c>
      <c r="BU18" s="206" t="str">
        <f>IF(BO18&lt;2,"",IF(BO19=0,""," و "))</f>
        <v/>
      </c>
      <c r="BV18" s="206"/>
      <c r="BW18" s="207"/>
    </row>
    <row r="19" spans="1:75" ht="24" customHeight="1">
      <c r="A19" s="470" t="s">
        <v>62</v>
      </c>
      <c r="B19" s="471"/>
      <c r="C19" s="471"/>
      <c r="D19" s="471"/>
      <c r="E19" s="471"/>
      <c r="F19" s="472"/>
      <c r="G19" s="448" t="str">
        <f>AU28   &amp; " ریال"</f>
        <v xml:space="preserve"> چهل میلیارد و صد و پنجاه و چهار میلیون و چهارصد و نود و چهار هزار و هفتصد و شصت و چهار ریال</v>
      </c>
      <c r="H19" s="449"/>
      <c r="I19" s="449"/>
      <c r="J19" s="449"/>
      <c r="K19" s="449"/>
      <c r="L19" s="449"/>
      <c r="M19" s="450"/>
      <c r="N19" s="451"/>
      <c r="Q19" s="208">
        <f>INT(J11/10^6)-INT(J11/10^7)*10</f>
        <v>0</v>
      </c>
      <c r="R19" s="204" t="str">
        <f>IF(Q19=1,REPLACE(1,1,1,"یک"),IF(Q19=2,REPLACE(2,1,1,"دو"),IF(Q19=3,REPLACE(3,1,1,"سه"),IF(Q19=4,REPLACE(4,1,1,"چهار"),IF(Q19=5,REPLACE(5,1,1,"پنج"),"")))))</f>
        <v/>
      </c>
      <c r="S19" s="204" t="str">
        <f>IF(Q19=6,REPLACE(6,1,1,"شش"),IF(Q19=7,REPLACE(7,1,1,"هفت"),IF(Q19=8,REPLACE(8,1,1,"هشت"),IF(Q19=9,REPLACE(9,1,1,"نه"),""))))</f>
        <v/>
      </c>
      <c r="T19" s="204"/>
      <c r="U19" s="204"/>
      <c r="V19" s="204" t="str">
        <f>IF(Q18=1,"",IF(Q19&lt;6,R19,S19))</f>
        <v/>
      </c>
      <c r="W19" s="204"/>
      <c r="X19" s="204" t="str">
        <f>IF((Q17+Q18+Q19)=0,""," میلیون")</f>
        <v/>
      </c>
      <c r="Y19" s="205" t="str">
        <f>IF(Q20+Q21+Q22=0,"",IF(Q19+Q18+Q17+Q16+Q15+Q12=0,""," و "))</f>
        <v/>
      </c>
      <c r="Z19" s="196"/>
      <c r="AA19" s="208">
        <f>INT(M16/10^6)-INT(M16/10^7)*10</f>
        <v>0</v>
      </c>
      <c r="AB19" s="204" t="str">
        <f>IF(AA19=1,REPLACE(1,1,1,"یک"),IF(AA19=2,REPLACE(2,1,1,"دو"),IF(AA19=3,REPLACE(3,1,1,"سه"),IF(AA19=4,REPLACE(4,1,1,"چهار"),IF(AA19=5,REPLACE(5,1,1,"پنج"),"")))))</f>
        <v/>
      </c>
      <c r="AC19" s="204" t="str">
        <f>IF(AA19=6,REPLACE(6,1,1,"شش"),IF(AA19=7,REPLACE(7,1,1,"هفت"),IF(AA19=8,REPLACE(8,1,1,"هشت"),IF(AA19=9,REPLACE(9,1,1,"نه"),""))))</f>
        <v/>
      </c>
      <c r="AD19" s="204"/>
      <c r="AE19" s="204"/>
      <c r="AF19" s="204" t="str">
        <f>IF(AA18=1,"",IF(AA19&lt;6,AB19,AC19))</f>
        <v/>
      </c>
      <c r="AG19" s="204"/>
      <c r="AH19" s="204" t="str">
        <f>IF((AA17+AA18+AA19)=0,""," میلیون")</f>
        <v/>
      </c>
      <c r="AI19" s="205" t="str">
        <f>IF(AA20+AA21+AA22=0,"",IF(AA19+AA18+AA17+AA16+AA15+AA12=0,""," و "))</f>
        <v/>
      </c>
      <c r="AJ19" s="206"/>
      <c r="AK19" s="208">
        <f>INT(M18/10^6)-INT(M18/10^7)*10</f>
        <v>0</v>
      </c>
      <c r="AL19" s="204" t="str">
        <f>IF(AK19=1,REPLACE(1,1,1,"یک"),IF(AK19=2,REPLACE(2,1,1,"دو"),IF(AK19=3,REPLACE(3,1,1,"سه"),IF(AK19=4,REPLACE(4,1,1,"چهار"),IF(AK19=5,REPLACE(5,1,1,"پنج"),"")))))</f>
        <v/>
      </c>
      <c r="AM19" s="204" t="str">
        <f>IF(AK19=6,REPLACE(6,1,1,"شش"),IF(AK19=7,REPLACE(7,1,1,"هفت"),IF(AK19=8,REPLACE(8,1,1,"هشت"),IF(AK19=9,REPLACE(9,1,1,"نه"),""))))</f>
        <v/>
      </c>
      <c r="AN19" s="204"/>
      <c r="AO19" s="204"/>
      <c r="AP19" s="204" t="str">
        <f>IF(AK18=1,"",IF(AK19&lt;6,AL19,AM19))</f>
        <v/>
      </c>
      <c r="AQ19" s="204"/>
      <c r="AR19" s="204" t="str">
        <f>IF((AK17+AK18+AK19)=0,""," میلیون")</f>
        <v/>
      </c>
      <c r="AS19" s="205" t="str">
        <f>IF(AK20+AK21+AK22=0,"",IF(AK19+AK18+AK17+AK16+AK15+AK12=0,""," و "))</f>
        <v/>
      </c>
      <c r="AT19" s="204"/>
      <c r="AU19" s="209">
        <f>INT(G11/10^6)-INT(G11/10^7)*10</f>
        <v>4</v>
      </c>
      <c r="AV19" s="206" t="str">
        <f>IF(AU19=1,REPLACE(1,1,1,"یک"),IF(AU19=2,REPLACE(2,1,1,"دو"),IF(AU19=3,REPLACE(3,1,1,"سه"),IF(AU19=4,REPLACE(4,1,1,"چهار"),IF(AU19=5,REPLACE(5,1,1,"پنج"),"")))))</f>
        <v>چهار</v>
      </c>
      <c r="AW19" s="206" t="str">
        <f>IF(AU19=6,REPLACE(6,1,1,"شش"),IF(AU19=7,REPLACE(7,1,1,"هفت"),IF(AU19=8,REPLACE(8,1,1,"هشت"),IF(AU19=9,REPLACE(9,1,1,"نه"),""))))</f>
        <v/>
      </c>
      <c r="AX19" s="206"/>
      <c r="AY19" s="206"/>
      <c r="AZ19" s="206" t="str">
        <f>IF(AU18=1,"",IF(AU19&lt;6,AV19,AW19))</f>
        <v>چهار</v>
      </c>
      <c r="BA19" s="206"/>
      <c r="BB19" s="206" t="str">
        <f>IF((AU17+AU18+AU19)=0,""," میلیون")</f>
        <v xml:space="preserve"> میلیون</v>
      </c>
      <c r="BC19" s="207" t="str">
        <f>IF(AU20+AU21+AU22=0,"",IF(AU19+AU18+AU17+AU16+AU15+AU12=0,""," و "))</f>
        <v xml:space="preserve"> و </v>
      </c>
      <c r="BD19" s="197"/>
      <c r="BE19" s="209">
        <f>INT(J16/10^6)-INT(J16/10^7)*10</f>
        <v>0</v>
      </c>
      <c r="BF19" s="206" t="str">
        <f>IF(BE19=1,REPLACE(1,1,1,"یک"),IF(BE19=2,REPLACE(2,1,1,"دو"),IF(BE19=3,REPLACE(3,1,1,"سه"),IF(BE19=4,REPLACE(4,1,1,"چهار"),IF(BE19=5,REPLACE(5,1,1,"پنج"),"")))))</f>
        <v/>
      </c>
      <c r="BG19" s="206" t="str">
        <f>IF(BE19=6,REPLACE(6,1,1,"شش"),IF(BE19=7,REPLACE(7,1,1,"هفت"),IF(BE19=8,REPLACE(8,1,1,"هشت"),IF(BE19=9,REPLACE(9,1,1,"نه"),""))))</f>
        <v/>
      </c>
      <c r="BH19" s="206"/>
      <c r="BI19" s="206"/>
      <c r="BJ19" s="206" t="str">
        <f>IF(BE18=1,"",IF(BE19&lt;6,BF19,BG19))</f>
        <v/>
      </c>
      <c r="BK19" s="206"/>
      <c r="BL19" s="206" t="str">
        <f>IF((BE17+BE18+BE19)=0,""," میلیون")</f>
        <v/>
      </c>
      <c r="BM19" s="207" t="str">
        <f>IF(BE20+BE21+BE22=0,"",IF(BE19+BE18+BE17+BE16+BE15+BE12=0,""," و "))</f>
        <v/>
      </c>
      <c r="BN19" s="197"/>
      <c r="BO19" s="209">
        <f>INT(J18/10^6)-INT(J18/10^7)*10</f>
        <v>0</v>
      </c>
      <c r="BP19" s="206" t="str">
        <f>IF(BO19=1,REPLACE(1,1,1,"یک"),IF(BO19=2,REPLACE(2,1,1,"دو"),IF(BO19=3,REPLACE(3,1,1,"سه"),IF(BO19=4,REPLACE(4,1,1,"چهار"),IF(BO19=5,REPLACE(5,1,1,"پنج"),"")))))</f>
        <v/>
      </c>
      <c r="BQ19" s="206" t="str">
        <f>IF(BO19=6,REPLACE(6,1,1,"شش"),IF(BO19=7,REPLACE(7,1,1,"هفت"),IF(BO19=8,REPLACE(8,1,1,"هشت"),IF(BO19=9,REPLACE(9,1,1,"نه"),""))))</f>
        <v/>
      </c>
      <c r="BR19" s="206"/>
      <c r="BS19" s="206"/>
      <c r="BT19" s="206" t="str">
        <f>IF(BO18=1,"",IF(BO19&lt;6,BP19,BQ19))</f>
        <v/>
      </c>
      <c r="BU19" s="206"/>
      <c r="BV19" s="206" t="str">
        <f>IF((BO17+BO18+BO19)=0,""," میلیون")</f>
        <v/>
      </c>
      <c r="BW19" s="207" t="str">
        <f>IF(BO20+BO21+BO22=0,"",IF(BO19+BO18+BO17+BO16+BO15+BO12=0,""," و "))</f>
        <v/>
      </c>
    </row>
    <row r="20" spans="1:75" ht="24" customHeight="1" thickBot="1">
      <c r="A20" s="473"/>
      <c r="B20" s="474"/>
      <c r="C20" s="474"/>
      <c r="D20" s="474"/>
      <c r="E20" s="474"/>
      <c r="F20" s="475"/>
      <c r="G20" s="466" t="str">
        <f>Q28&amp; " ریال"</f>
        <v xml:space="preserve">  ریال</v>
      </c>
      <c r="H20" s="467"/>
      <c r="I20" s="467"/>
      <c r="J20" s="467"/>
      <c r="K20" s="467"/>
      <c r="L20" s="467"/>
      <c r="M20" s="468"/>
      <c r="N20" s="469"/>
      <c r="Q20" s="208">
        <f>INT(J11/10^5)-INT(J11/10^6)*10</f>
        <v>0</v>
      </c>
      <c r="R20" s="204" t="str">
        <f>IF(Q20=1,REPLACE(1,1,1,"صد"),IF(Q20=2,REPLACE(2,1,1,"دویست"),IF(Q20=3,REPLACE(3,1,1,"سیصد"),IF(Q20=4,REPLACE(4,1,1,"چهارصد"),IF(Q20=5,REPLACE(5,1,1,"پانصد"),"")))))</f>
        <v/>
      </c>
      <c r="S20" s="204" t="str">
        <f>IF(Q20=6,REPLACE(6,1,1,"ششصد"),IF(Q20=7,REPLACE(7,1,1,"هفتصد"),IF(Q20=8,REPLACE(8,1,1,"هشتصد"),IF(Q20=9,REPLACE(9,1,1,"نهصد"),""))))</f>
        <v/>
      </c>
      <c r="T20" s="204"/>
      <c r="U20" s="204"/>
      <c r="V20" s="204" t="str">
        <f t="shared" si="0"/>
        <v/>
      </c>
      <c r="W20" s="204" t="str">
        <f>IF(Q20&lt;2,"",IF(Q21=0,""," و "))</f>
        <v/>
      </c>
      <c r="X20" s="204"/>
      <c r="Y20" s="205" t="str">
        <f>IF(Q21+Q22+Q23=0,"",IF(Q20+Q19+Q18+Q17+Q16+Q15+Q12=0,""," و "))</f>
        <v/>
      </c>
      <c r="Z20" s="196"/>
      <c r="AA20" s="208">
        <f>INT(M16/10^5)-INT(M16/10^6)*10</f>
        <v>0</v>
      </c>
      <c r="AB20" s="204" t="str">
        <f>IF(AA20=1,REPLACE(1,1,1,"صد"),IF(AA20=2,REPLACE(2,1,1,"دویست"),IF(AA20=3,REPLACE(3,1,1,"سیصد"),IF(AA20=4,REPLACE(4,1,1,"چهارصد"),IF(AA20=5,REPLACE(5,1,1,"پانصد"),"")))))</f>
        <v/>
      </c>
      <c r="AC20" s="204" t="str">
        <f>IF(AA20=6,REPLACE(6,1,1,"ششصد"),IF(AA20=7,REPLACE(7,1,1,"هفتصد"),IF(AA20=8,REPLACE(8,1,1,"هشتصد"),IF(AA20=9,REPLACE(9,1,1,"نهصد"),""))))</f>
        <v/>
      </c>
      <c r="AD20" s="204"/>
      <c r="AE20" s="204"/>
      <c r="AF20" s="204" t="str">
        <f>IF(AA20&lt;6,AB20,AC20)</f>
        <v/>
      </c>
      <c r="AG20" s="204" t="str">
        <f>IF(AA20&lt;2,"",IF(AA21=0,""," و "))</f>
        <v/>
      </c>
      <c r="AH20" s="204"/>
      <c r="AI20" s="205" t="str">
        <f>IF(AA21+AA22+AA23=0,"",IF(AA20+AA19+AA18+AA17+AA16+AA15+AA12=0,""," و "))</f>
        <v/>
      </c>
      <c r="AJ20" s="206"/>
      <c r="AK20" s="208">
        <f>INT(M18/10^5)-INT(M18/10^6)*10</f>
        <v>0</v>
      </c>
      <c r="AL20" s="204" t="str">
        <f>IF(AK20=1,REPLACE(1,1,1,"صد"),IF(AK20=2,REPLACE(2,1,1,"دویست"),IF(AK20=3,REPLACE(3,1,1,"سیصد"),IF(AK20=4,REPLACE(4,1,1,"چهارصد"),IF(AK20=5,REPLACE(5,1,1,"پانصد"),"")))))</f>
        <v/>
      </c>
      <c r="AM20" s="204" t="str">
        <f>IF(AK20=6,REPLACE(6,1,1,"ششصد"),IF(AK20=7,REPLACE(7,1,1,"هفتصد"),IF(AK20=8,REPLACE(8,1,1,"هشتصد"),IF(AK20=9,REPLACE(9,1,1,"نهصد"),""))))</f>
        <v/>
      </c>
      <c r="AN20" s="204"/>
      <c r="AO20" s="204"/>
      <c r="AP20" s="204" t="str">
        <f>IF(AK20&lt;6,AL20,AM20)</f>
        <v/>
      </c>
      <c r="AQ20" s="204" t="str">
        <f>IF(AK20&lt;2,"",IF(AK21=0,""," و "))</f>
        <v/>
      </c>
      <c r="AR20" s="204"/>
      <c r="AS20" s="205" t="str">
        <f>IF(AK21+AK22+AK23=0,"",IF(AK20+AK19+AK18+AK17+AK16+AK15+AK12=0,""," و "))</f>
        <v/>
      </c>
      <c r="AT20" s="204"/>
      <c r="AU20" s="209">
        <f>INT(G11/10^5)-INT(G11/10^6)*10</f>
        <v>4</v>
      </c>
      <c r="AV20" s="206" t="str">
        <f>IF(AU20=1,REPLACE(1,1,1,"صد"),IF(AU20=2,REPLACE(2,1,1,"دویست"),IF(AU20=3,REPLACE(3,1,1,"سیصد"),IF(AU20=4,REPLACE(4,1,1,"چهارصد"),IF(AU20=5,REPLACE(5,1,1,"پانصد"),"")))))</f>
        <v>چهارصد</v>
      </c>
      <c r="AW20" s="206" t="str">
        <f>IF(AU20=6,REPLACE(6,1,1,"ششصد"),IF(AU20=7,REPLACE(7,1,1,"هفتصد"),IF(AU20=8,REPLACE(8,1,1,"هشتصد"),IF(AU20=9,REPLACE(9,1,1,"نهصد"),""))))</f>
        <v/>
      </c>
      <c r="AX20" s="206"/>
      <c r="AY20" s="206"/>
      <c r="AZ20" s="206" t="str">
        <f>IF(AU20&lt;6,AV20,AW20)</f>
        <v>چهارصد</v>
      </c>
      <c r="BA20" s="206" t="str">
        <f>IF(AU20&lt;2,"",IF(AU21=0,""," و "))</f>
        <v xml:space="preserve"> و </v>
      </c>
      <c r="BB20" s="206"/>
      <c r="BC20" s="207" t="str">
        <f>IF(AU21+AU22+AU23=0,"",IF(AU20+AU19+AU18+AU17+AU16+AU15+AU12=0,""," و "))</f>
        <v xml:space="preserve"> و </v>
      </c>
      <c r="BD20" s="197"/>
      <c r="BE20" s="209">
        <f>INT(J16/10^5)-INT(J16/10^6)*10</f>
        <v>0</v>
      </c>
      <c r="BF20" s="206" t="str">
        <f>IF(BE20=1,REPLACE(1,1,1,"صد"),IF(BE20=2,REPLACE(2,1,1,"دویست"),IF(BE20=3,REPLACE(3,1,1,"سیصد"),IF(BE20=4,REPLACE(4,1,1,"چهارصد"),IF(BE20=5,REPLACE(5,1,1,"پانصد"),"")))))</f>
        <v/>
      </c>
      <c r="BG20" s="206" t="str">
        <f>IF(BE20=6,REPLACE(6,1,1,"ششصد"),IF(BE20=7,REPLACE(7,1,1,"هفتصد"),IF(BE20=8,REPLACE(8,1,1,"هشتصد"),IF(BE20=9,REPLACE(9,1,1,"نهصد"),""))))</f>
        <v/>
      </c>
      <c r="BH20" s="206"/>
      <c r="BI20" s="206"/>
      <c r="BJ20" s="206" t="str">
        <f>IF(BE20&lt;6,BF20,BG20)</f>
        <v/>
      </c>
      <c r="BK20" s="206" t="str">
        <f>IF(BE20&lt;2,"",IF(BE21=0,""," و "))</f>
        <v/>
      </c>
      <c r="BL20" s="206"/>
      <c r="BM20" s="207" t="str">
        <f>IF(BE21+BE22+BE23=0,"",IF(BE20+BE19+BE18+BE17+BE16+BE15+BE12=0,""," و "))</f>
        <v/>
      </c>
      <c r="BN20" s="197"/>
      <c r="BO20" s="209">
        <f>INT(J18/10^5)-INT(J18/10^6)*10</f>
        <v>0</v>
      </c>
      <c r="BP20" s="206" t="str">
        <f>IF(BO20=1,REPLACE(1,1,1,"صد"),IF(BO20=2,REPLACE(2,1,1,"دویست"),IF(BO20=3,REPLACE(3,1,1,"سیصد"),IF(BO20=4,REPLACE(4,1,1,"چهارصد"),IF(BO20=5,REPLACE(5,1,1,"پانصد"),"")))))</f>
        <v/>
      </c>
      <c r="BQ20" s="206" t="str">
        <f>IF(BO20=6,REPLACE(6,1,1,"ششصد"),IF(BO20=7,REPLACE(7,1,1,"هفتصد"),IF(BO20=8,REPLACE(8,1,1,"هشتصد"),IF(BO20=9,REPLACE(9,1,1,"نهصد"),""))))</f>
        <v/>
      </c>
      <c r="BR20" s="206"/>
      <c r="BS20" s="206"/>
      <c r="BT20" s="206" t="str">
        <f>IF(BO20&lt;6,BP20,BQ20)</f>
        <v/>
      </c>
      <c r="BU20" s="206" t="str">
        <f>IF(BO20&lt;2,"",IF(BO21=0,""," و "))</f>
        <v/>
      </c>
      <c r="BV20" s="206"/>
      <c r="BW20" s="207" t="str">
        <f>IF(BO21+BO22+BO23=0,"",IF(BO20+BO19+BO18+BO17+BO16+BO15+BO12=0,""," و "))</f>
        <v/>
      </c>
    </row>
    <row r="21" spans="1:75" ht="8.25" customHeight="1" thickTop="1">
      <c r="A21" s="733"/>
      <c r="B21" s="733"/>
      <c r="C21" s="733"/>
      <c r="D21" s="733"/>
      <c r="E21" s="733"/>
      <c r="F21" s="733"/>
      <c r="G21" s="733"/>
      <c r="H21" s="733"/>
      <c r="I21" s="733"/>
      <c r="J21" s="733"/>
      <c r="K21" s="733"/>
      <c r="L21" s="733"/>
      <c r="M21" s="733"/>
      <c r="N21" s="733"/>
      <c r="Q21" s="208">
        <f>INT(J11/10^4)-INT(J11/10^5)*10</f>
        <v>0</v>
      </c>
      <c r="R21" s="204" t="str">
        <f>IF(Q21=1,REPLACE(1,1,1,"ده"),IF(Q21=2,REPLACE(2,1,1,"بیست"),IF(Q21=3,REPLACE(3,1,1,"سی"),IF(Q21=4,REPLACE(4,1,1,"چهل"),IF(Q21=5,REPLACE(5,1,1,"پنجاه"),"")))))</f>
        <v/>
      </c>
      <c r="S21" s="204" t="str">
        <f>IF(Q21=6,REPLACE(6,1,1,"شصت"),IF(Q21=7,REPLACE(7,1,1,"هفتاد"),IF(Q21=8,REPLACE(8,1,1,"هشتاد"),IF(Q21=9,REPLACE(9,1,1,"نود"),""))))</f>
        <v/>
      </c>
      <c r="T21" s="204" t="str">
        <f>IF(Q21=1,IF(Q22=0,"ده",IF(Q22=1,"یازده",IF(Q22=2,"دوازده",IF(Q22=3,"سیزده",IF(Q22=4,"چهارده",IF(Q22=5,"پانزده","")))))),"")</f>
        <v/>
      </c>
      <c r="U21" s="204" t="str">
        <f>IF(Q21=1,IF(Q22=6,"شانزده",IF(Q22=7,"هفده",IF(Q22=8,"هجده",IF(Q22=9,"نوزده","")))),"")</f>
        <v/>
      </c>
      <c r="V21" s="204" t="str">
        <f>IF(Q21=1,IF(Q22&lt;6,T21,U21),IF(Q21&lt;6,R21,S21))</f>
        <v/>
      </c>
      <c r="W21" s="204" t="str">
        <f>IF(Q21&lt;2,"",IF(Q22=0,""," و "))</f>
        <v/>
      </c>
      <c r="X21" s="204"/>
      <c r="Y21" s="205"/>
      <c r="Z21" s="196"/>
      <c r="AA21" s="208">
        <f>INT(M16/10^4)-INT(M16/10^5)*10</f>
        <v>0</v>
      </c>
      <c r="AB21" s="204" t="str">
        <f>IF(AA21=1,REPLACE(1,1,1,"ده"),IF(AA21=2,REPLACE(2,1,1,"بیست"),IF(AA21=3,REPLACE(3,1,1,"سی"),IF(AA21=4,REPLACE(4,1,1,"چهل"),IF(AA21=5,REPLACE(5,1,1,"پنجاه"),"")))))</f>
        <v/>
      </c>
      <c r="AC21" s="204" t="str">
        <f>IF(AA21=6,REPLACE(6,1,1,"شصت"),IF(AA21=7,REPLACE(7,1,1,"هفتاد"),IF(AA21=8,REPLACE(8,1,1,"هشتاد"),IF(AA21=9,REPLACE(9,1,1,"نود"),""))))</f>
        <v/>
      </c>
      <c r="AD21" s="204" t="str">
        <f>IF(AA21=1,IF(AA22=0,"ده",IF(AA22=1,"یازده",IF(AA22=2,"دوازده",IF(AA22=3,"سیزده",IF(AA22=4,"چهارده",IF(AA22=5,"پانزده","")))))),"")</f>
        <v/>
      </c>
      <c r="AE21" s="204" t="str">
        <f>IF(AA21=1,IF(AA22=6,"شانزده",IF(AA22=7,"هفده",IF(AA22=8,"هجده",IF(AA22=9,"نوزده","")))),"")</f>
        <v/>
      </c>
      <c r="AF21" s="204" t="str">
        <f>IF(AA21=1,IF(AA22&lt;6,AD21,AE21),IF(AA21&lt;6,AB21,AC21))</f>
        <v/>
      </c>
      <c r="AG21" s="204" t="str">
        <f>IF(AA21&lt;2,"",IF(AA22=0,""," و "))</f>
        <v/>
      </c>
      <c r="AH21" s="204"/>
      <c r="AI21" s="205"/>
      <c r="AJ21" s="206"/>
      <c r="AK21" s="208">
        <f>INT(M18/10^4)-INT(M18/10^5)*10</f>
        <v>0</v>
      </c>
      <c r="AL21" s="204" t="str">
        <f>IF(AK21=1,REPLACE(1,1,1,"ده"),IF(AK21=2,REPLACE(2,1,1,"بیست"),IF(AK21=3,REPLACE(3,1,1,"سی"),IF(AK21=4,REPLACE(4,1,1,"چهل"),IF(AK21=5,REPLACE(5,1,1,"پنجاه"),"")))))</f>
        <v/>
      </c>
      <c r="AM21" s="204" t="str">
        <f>IF(AK21=6,REPLACE(6,1,1,"شصت"),IF(AK21=7,REPLACE(7,1,1,"هفتاد"),IF(AK21=8,REPLACE(8,1,1,"هشتاد"),IF(AK21=9,REPLACE(9,1,1,"نود"),""))))</f>
        <v/>
      </c>
      <c r="AN21" s="204" t="str">
        <f>IF(AK21=1,IF(AK22=0,"ده",IF(AK22=1,"یازده",IF(AK22=2,"دوازده",IF(AK22=3,"سیزده",IF(AK22=4,"چهارده",IF(AK22=5,"پانزده","")))))),"")</f>
        <v/>
      </c>
      <c r="AO21" s="204" t="str">
        <f>IF(AK21=1,IF(AK22=6,"شانزده",IF(AK22=7,"هفده",IF(AK22=8,"هجده",IF(AK22=9,"نوزده","")))),"")</f>
        <v/>
      </c>
      <c r="AP21" s="204" t="str">
        <f>IF(AK21=1,IF(AK22&lt;6,AN21,AO21),IF(AK21&lt;6,AL21,AM21))</f>
        <v/>
      </c>
      <c r="AQ21" s="204" t="str">
        <f>IF(AK21&lt;2,"",IF(AK22=0,""," و "))</f>
        <v/>
      </c>
      <c r="AR21" s="204"/>
      <c r="AS21" s="205"/>
      <c r="AT21" s="204"/>
      <c r="AU21" s="209">
        <f>INT(G11/10^4)-INT(G11/10^5)*10</f>
        <v>9</v>
      </c>
      <c r="AV21" s="206" t="str">
        <f>IF(AU21=1,REPLACE(1,1,1,"ده"),IF(AU21=2,REPLACE(2,1,1,"بیست"),IF(AU21=3,REPLACE(3,1,1,"سی"),IF(AU21=4,REPLACE(4,1,1,"چهل"),IF(AU21=5,REPLACE(5,1,1,"پنجاه"),"")))))</f>
        <v/>
      </c>
      <c r="AW21" s="206" t="str">
        <f>IF(AU21=6,REPLACE(6,1,1,"شصت"),IF(AU21=7,REPLACE(7,1,1,"هفتاد"),IF(AU21=8,REPLACE(8,1,1,"هشتاد"),IF(AU21=9,REPLACE(9,1,1,"نود"),""))))</f>
        <v>نود</v>
      </c>
      <c r="AX21" s="206" t="str">
        <f>IF(AU21=1,IF(AU22=0,"ده",IF(AU22=1,"یازده",IF(AU22=2,"دوازده",IF(AU22=3,"سیزده",IF(AU22=4,"چهارده",IF(AU22=5,"پانزده","")))))),"")</f>
        <v/>
      </c>
      <c r="AY21" s="206" t="str">
        <f>IF(AU21=1,IF(AU22=6,"شانزده",IF(AU22=7,"هفده",IF(AU22=8,"هجده",IF(AU22=9,"نوزده","")))),"")</f>
        <v/>
      </c>
      <c r="AZ21" s="206" t="str">
        <f>IF(AU21=1,IF(AU22&lt;6,AX21,AY21),IF(AU21&lt;6,AV21,AW21))</f>
        <v>نود</v>
      </c>
      <c r="BA21" s="206" t="str">
        <f>IF(AU21&lt;2,"",IF(AU22=0,""," و "))</f>
        <v xml:space="preserve"> و </v>
      </c>
      <c r="BB21" s="206"/>
      <c r="BC21" s="207"/>
      <c r="BD21" s="197"/>
      <c r="BE21" s="209">
        <f>INT(J16/10^4)-INT(J16/10^5)*10</f>
        <v>0</v>
      </c>
      <c r="BF21" s="206" t="str">
        <f>IF(BE21=1,REPLACE(1,1,1,"ده"),IF(BE21=2,REPLACE(2,1,1,"بیست"),IF(BE21=3,REPLACE(3,1,1,"سی"),IF(BE21=4,REPLACE(4,1,1,"چهل"),IF(BE21=5,REPLACE(5,1,1,"پنجاه"),"")))))</f>
        <v/>
      </c>
      <c r="BG21" s="206" t="str">
        <f>IF(BE21=6,REPLACE(6,1,1,"شصت"),IF(BE21=7,REPLACE(7,1,1,"هفتاد"),IF(BE21=8,REPLACE(8,1,1,"هشتاد"),IF(BE21=9,REPLACE(9,1,1,"نود"),""))))</f>
        <v/>
      </c>
      <c r="BH21" s="206" t="str">
        <f>IF(BE21=1,IF(BE22=0,"ده",IF(BE22=1,"یازده",IF(BE22=2,"دوازده",IF(BE22=3,"سیزده",IF(BE22=4,"چهارده",IF(BE22=5,"پانزده","")))))),"")</f>
        <v/>
      </c>
      <c r="BI21" s="206" t="str">
        <f>IF(BE21=1,IF(BE22=6,"شانزده",IF(BE22=7,"هفده",IF(BE22=8,"هجده",IF(BE22=9,"نوزده","")))),"")</f>
        <v/>
      </c>
      <c r="BJ21" s="206" t="str">
        <f>IF(BE21=1,IF(BE22&lt;6,BH21,BI21),IF(BE21&lt;6,BF21,BG21))</f>
        <v/>
      </c>
      <c r="BK21" s="206" t="str">
        <f>IF(BE21&lt;2,"",IF(BE22=0,""," و "))</f>
        <v/>
      </c>
      <c r="BL21" s="206"/>
      <c r="BM21" s="207"/>
      <c r="BN21" s="197"/>
      <c r="BO21" s="209">
        <f>INT(J18/10^4)-INT(J18/10^5)*10</f>
        <v>0</v>
      </c>
      <c r="BP21" s="206" t="str">
        <f>IF(BO21=1,REPLACE(1,1,1,"ده"),IF(BO21=2,REPLACE(2,1,1,"بیست"),IF(BO21=3,REPLACE(3,1,1,"سی"),IF(BO21=4,REPLACE(4,1,1,"چهل"),IF(BO21=5,REPLACE(5,1,1,"پنجاه"),"")))))</f>
        <v/>
      </c>
      <c r="BQ21" s="206" t="str">
        <f>IF(BO21=6,REPLACE(6,1,1,"شصت"),IF(BO21=7,REPLACE(7,1,1,"هفتاد"),IF(BO21=8,REPLACE(8,1,1,"هشتاد"),IF(BO21=9,REPLACE(9,1,1,"نود"),""))))</f>
        <v/>
      </c>
      <c r="BR21" s="206" t="str">
        <f>IF(BO21=1,IF(BO22=0,"ده",IF(BO22=1,"یازده",IF(BO22=2,"دوازده",IF(BO22=3,"سیزده",IF(BO22=4,"چهارده",IF(BO22=5,"پانزده","")))))),"")</f>
        <v/>
      </c>
      <c r="BS21" s="206" t="str">
        <f>IF(BO21=1,IF(BO22=6,"شانزده",IF(BO22=7,"هفده",IF(BO22=8,"هجده",IF(BO22=9,"نوزده","")))),"")</f>
        <v/>
      </c>
      <c r="BT21" s="206" t="str">
        <f>IF(BO21=1,IF(BO22&lt;6,BR21,BS21),IF(BO21&lt;6,BP21,BQ21))</f>
        <v/>
      </c>
      <c r="BU21" s="206" t="str">
        <f>IF(BO21&lt;2,"",IF(BO22=0,""," و "))</f>
        <v/>
      </c>
      <c r="BV21" s="206"/>
      <c r="BW21" s="207"/>
    </row>
    <row r="22" spans="1:75" ht="8.25" customHeight="1">
      <c r="A22" s="732"/>
      <c r="B22" s="732"/>
      <c r="C22" s="732"/>
      <c r="D22" s="732"/>
      <c r="E22" s="732"/>
      <c r="F22" s="732"/>
      <c r="G22" s="732"/>
      <c r="H22" s="732"/>
      <c r="I22" s="732"/>
      <c r="J22" s="732"/>
      <c r="K22" s="732"/>
      <c r="L22" s="732"/>
      <c r="M22" s="732"/>
      <c r="N22" s="732"/>
      <c r="Q22" s="208">
        <f>INT(J11/10^3)-INT(J11/10^4)*10</f>
        <v>0</v>
      </c>
      <c r="R22" s="204" t="str">
        <f>IF(Q22=1,REPLACE(1,1,1,"یک"),IF(Q22=2,REPLACE(2,1,1,"دو"),IF(Q22=3,REPLACE(3,1,1,"سه"),IF(Q22=4,REPLACE(4,1,1,"چهار"),IF(Q22=5,REPLACE(5,1,1,"پنج"),"")))))</f>
        <v/>
      </c>
      <c r="S22" s="204" t="str">
        <f>IF(Q22=6,REPLACE(6,1,1,"شش"),IF(Q22=7,REPLACE(7,1,1,"هفت"),IF(Q22=8,REPLACE(8,1,1,"هشت"),IF(Q22=9,REPLACE(9,1,1,"نه"),""))))</f>
        <v/>
      </c>
      <c r="T22" s="204"/>
      <c r="U22" s="204"/>
      <c r="V22" s="204" t="str">
        <f>IF(Q21=1,"",IF(Q22&lt;6,R22,S22))</f>
        <v/>
      </c>
      <c r="W22" s="204"/>
      <c r="X22" s="204" t="str">
        <f>IF((Q20+Q21+Q22)=0,""," هزار")</f>
        <v/>
      </c>
      <c r="Y22" s="205" t="str">
        <f>IF(Q23+Q24+Q25=0,"",IF(Q22+Q21+Q20+Q19+Q18+Q17+Q16+Q15+Q12=0,""," و "))</f>
        <v/>
      </c>
      <c r="Z22" s="196"/>
      <c r="AA22" s="208">
        <f>INT(M16/10^3)-INT(M16/10^4)*10</f>
        <v>0</v>
      </c>
      <c r="AB22" s="204" t="str">
        <f>IF(AA22=1,REPLACE(1,1,1,"یک"),IF(AA22=2,REPLACE(2,1,1,"دو"),IF(AA22=3,REPLACE(3,1,1,"سه"),IF(AA22=4,REPLACE(4,1,1,"چهار"),IF(AA22=5,REPLACE(5,1,1,"پنج"),"")))))</f>
        <v/>
      </c>
      <c r="AC22" s="204" t="str">
        <f>IF(AA22=6,REPLACE(6,1,1,"شش"),IF(AA22=7,REPLACE(7,1,1,"هفت"),IF(AA22=8,REPLACE(8,1,1,"هشت"),IF(AA22=9,REPLACE(9,1,1,"نه"),""))))</f>
        <v/>
      </c>
      <c r="AD22" s="204"/>
      <c r="AE22" s="204"/>
      <c r="AF22" s="204" t="str">
        <f>IF(AA21=1,"",IF(AA22&lt;6,AB22,AC22))</f>
        <v/>
      </c>
      <c r="AG22" s="204"/>
      <c r="AH22" s="204" t="str">
        <f>IF((AA20+AA21+AA22)=0,""," هزار")</f>
        <v/>
      </c>
      <c r="AI22" s="205" t="str">
        <f>IF(AA23+AA24+AA25=0,"",IF(AA22+AA21+AA20+AA19+AA18+AA17+AA16+AA15+AA12=0,""," و "))</f>
        <v/>
      </c>
      <c r="AJ22" s="206"/>
      <c r="AK22" s="208">
        <f>INT(M18/10^3)-INT(M18/10^4)*10</f>
        <v>0</v>
      </c>
      <c r="AL22" s="204" t="str">
        <f>IF(AK22=1,REPLACE(1,1,1,"یک"),IF(AK22=2,REPLACE(2,1,1,"دو"),IF(AK22=3,REPLACE(3,1,1,"سه"),IF(AK22=4,REPLACE(4,1,1,"چهار"),IF(AK22=5,REPLACE(5,1,1,"پنج"),"")))))</f>
        <v/>
      </c>
      <c r="AM22" s="204" t="str">
        <f>IF(AK22=6,REPLACE(6,1,1,"شش"),IF(AK22=7,REPLACE(7,1,1,"هفت"),IF(AK22=8,REPLACE(8,1,1,"هشت"),IF(AK22=9,REPLACE(9,1,1,"نه"),""))))</f>
        <v/>
      </c>
      <c r="AN22" s="204"/>
      <c r="AO22" s="204"/>
      <c r="AP22" s="204" t="str">
        <f>IF(AK21=1,"",IF(AK22&lt;6,AL22,AM22))</f>
        <v/>
      </c>
      <c r="AQ22" s="204"/>
      <c r="AR22" s="204" t="str">
        <f>IF((AK20+AK21+AK22)=0,""," هزار")</f>
        <v/>
      </c>
      <c r="AS22" s="205" t="str">
        <f>IF(AK23+AK24+AK25=0,"",IF(AK22+AK21+AK20+AK19+AK18+AK17+AK16+AK15+AK12=0,""," و "))</f>
        <v/>
      </c>
      <c r="AT22" s="204"/>
      <c r="AU22" s="209">
        <f>INT(G11/10^3)-INT(G11/10^4)*10</f>
        <v>4</v>
      </c>
      <c r="AV22" s="206" t="str">
        <f>IF(AU22=1,REPLACE(1,1,1,"یک"),IF(AU22=2,REPLACE(2,1,1,"دو"),IF(AU22=3,REPLACE(3,1,1,"سه"),IF(AU22=4,REPLACE(4,1,1,"چهار"),IF(AU22=5,REPLACE(5,1,1,"پنج"),"")))))</f>
        <v>چهار</v>
      </c>
      <c r="AW22" s="206" t="str">
        <f>IF(AU22=6,REPLACE(6,1,1,"شش"),IF(AU22=7,REPLACE(7,1,1,"هفت"),IF(AU22=8,REPLACE(8,1,1,"هشت"),IF(AU22=9,REPLACE(9,1,1,"نه"),""))))</f>
        <v/>
      </c>
      <c r="AX22" s="206"/>
      <c r="AY22" s="206"/>
      <c r="AZ22" s="206" t="str">
        <f>IF(AU21=1,"",IF(AU22&lt;6,AV22,AW22))</f>
        <v>چهار</v>
      </c>
      <c r="BA22" s="206"/>
      <c r="BB22" s="206" t="str">
        <f>IF((AU20+AU21+AU22)=0,""," هزار")</f>
        <v xml:space="preserve"> هزار</v>
      </c>
      <c r="BC22" s="207" t="str">
        <f>IF(AU23+AU24+AU25=0,"",IF(AU22+AU21+AU20+AU19+AU18+AU17+AU16+AU15+AU12=0,""," و "))</f>
        <v xml:space="preserve"> و </v>
      </c>
      <c r="BD22" s="197"/>
      <c r="BE22" s="209">
        <f>INT(J16/10^3)-INT(J16/10^4)*10</f>
        <v>0</v>
      </c>
      <c r="BF22" s="206" t="str">
        <f>IF(BE22=1,REPLACE(1,1,1,"یک"),IF(BE22=2,REPLACE(2,1,1,"دو"),IF(BE22=3,REPLACE(3,1,1,"سه"),IF(BE22=4,REPLACE(4,1,1,"چهار"),IF(BE22=5,REPLACE(5,1,1,"پنج"),"")))))</f>
        <v/>
      </c>
      <c r="BG22" s="206" t="str">
        <f>IF(BE22=6,REPLACE(6,1,1,"شش"),IF(BE22=7,REPLACE(7,1,1,"هفت"),IF(BE22=8,REPLACE(8,1,1,"هشت"),IF(BE22=9,REPLACE(9,1,1,"نه"),""))))</f>
        <v/>
      </c>
      <c r="BH22" s="206"/>
      <c r="BI22" s="206"/>
      <c r="BJ22" s="206" t="str">
        <f>IF(BE21=1,"",IF(BE22&lt;6,BF22,BG22))</f>
        <v/>
      </c>
      <c r="BK22" s="206"/>
      <c r="BL22" s="206" t="str">
        <f>IF((BE20+BE21+BE22)=0,""," هزار")</f>
        <v/>
      </c>
      <c r="BM22" s="207" t="str">
        <f>IF(BE23+BE24+BE25=0,"",IF(BE22+BE21+BE20+BE19+BE18+BE17+BE16+BE15+BE12=0,""," و "))</f>
        <v/>
      </c>
      <c r="BN22" s="197"/>
      <c r="BO22" s="209">
        <f>INT(J18/10^3)-INT(J18/10^4)*10</f>
        <v>0</v>
      </c>
      <c r="BP22" s="206" t="str">
        <f>IF(BO22=1,REPLACE(1,1,1,"یک"),IF(BO22=2,REPLACE(2,1,1,"دو"),IF(BO22=3,REPLACE(3,1,1,"سه"),IF(BO22=4,REPLACE(4,1,1,"چهار"),IF(BO22=5,REPLACE(5,1,1,"پنج"),"")))))</f>
        <v/>
      </c>
      <c r="BQ22" s="206" t="str">
        <f>IF(BO22=6,REPLACE(6,1,1,"شش"),IF(BO22=7,REPLACE(7,1,1,"هفت"),IF(BO22=8,REPLACE(8,1,1,"هشت"),IF(BO22=9,REPLACE(9,1,1,"نه"),""))))</f>
        <v/>
      </c>
      <c r="BR22" s="206"/>
      <c r="BS22" s="206"/>
      <c r="BT22" s="206" t="str">
        <f>IF(BO21=1,"",IF(BO22&lt;6,BP22,BQ22))</f>
        <v/>
      </c>
      <c r="BU22" s="206"/>
      <c r="BV22" s="206" t="str">
        <f>IF((BO20+BO21+BO22)=0,""," هزار")</f>
        <v/>
      </c>
      <c r="BW22" s="207" t="str">
        <f>IF(BO23+BO24+BO25=0,"",IF(BO22+BO21+BO20+BO19+BO18+BO17+BO16+BO15+BO12=0,""," و "))</f>
        <v/>
      </c>
    </row>
    <row r="23" spans="1:75" ht="24.75" customHeight="1">
      <c r="A23" s="732"/>
      <c r="B23" s="732"/>
      <c r="C23" s="732"/>
      <c r="D23" s="732"/>
      <c r="E23" s="732"/>
      <c r="F23" s="732"/>
      <c r="G23" s="732"/>
      <c r="H23" s="732"/>
      <c r="I23" s="732"/>
      <c r="J23" s="732"/>
      <c r="K23" s="732"/>
      <c r="L23" s="732"/>
      <c r="M23" s="732"/>
      <c r="N23" s="732"/>
      <c r="Q23" s="208">
        <f>INT(J11/10^2)-INT(J11/10^3)*10</f>
        <v>0</v>
      </c>
      <c r="R23" s="204" t="str">
        <f>IF(Q23=1,REPLACE(1,1,1,"صد"),IF(Q23=2,REPLACE(2,1,1,"دویست"),IF(Q23=3,REPLACE(3,1,1,"سیصد"),IF(Q23=4,REPLACE(4,1,1,"چهارصد"),IF(Q23=5,REPLACE(5,1,1,"پانصد"),"")))))</f>
        <v/>
      </c>
      <c r="S23" s="204" t="str">
        <f>IF(Q23=6,REPLACE(6,1,1,"ششصد"),IF(Q23=7,REPLACE(7,1,1,"هفتصد"),IF(Q23=8,REPLACE(8,1,1,"هشتصد"),IF(Q23=9,REPLACE(9,1,1,"نهصد"),""))))</f>
        <v/>
      </c>
      <c r="T23" s="204"/>
      <c r="U23" s="204"/>
      <c r="V23" s="204" t="str">
        <f t="shared" si="0"/>
        <v/>
      </c>
      <c r="W23" s="204" t="str">
        <f>IF(Q23=0,"",(IF(Q24+Q25=0,""," و ")))</f>
        <v/>
      </c>
      <c r="X23" s="204"/>
      <c r="Y23" s="205"/>
      <c r="Z23" s="196"/>
      <c r="AA23" s="208">
        <f>INT(M16/10^2)-INT(M16/10^3)*10</f>
        <v>0</v>
      </c>
      <c r="AB23" s="204" t="str">
        <f>IF(AA23=1,REPLACE(1,1,1,"صد"),IF(AA23=2,REPLACE(2,1,1,"دویست"),IF(AA23=3,REPLACE(3,1,1,"سیصد"),IF(AA23=4,REPLACE(4,1,1,"چهارصد"),IF(AA23=5,REPLACE(5,1,1,"پانصد"),"")))))</f>
        <v/>
      </c>
      <c r="AC23" s="204" t="str">
        <f>IF(AA23=6,REPLACE(6,1,1,"ششصد"),IF(AA23=7,REPLACE(7,1,1,"هفتصد"),IF(AA23=8,REPLACE(8,1,1,"هشتصد"),IF(AA23=9,REPLACE(9,1,1,"نهصد"),""))))</f>
        <v/>
      </c>
      <c r="AD23" s="204"/>
      <c r="AE23" s="204"/>
      <c r="AF23" s="204" t="str">
        <f>IF(AA23&lt;6,AB23,AC23)</f>
        <v/>
      </c>
      <c r="AG23" s="204" t="str">
        <f>IF(AA23=0,"",(IF(AA24+AA25=0,""," و ")))</f>
        <v/>
      </c>
      <c r="AH23" s="204"/>
      <c r="AI23" s="205"/>
      <c r="AJ23" s="206"/>
      <c r="AK23" s="208">
        <f>INT(M18/10^2)-INT(M18/10^3)*10</f>
        <v>0</v>
      </c>
      <c r="AL23" s="204" t="str">
        <f>IF(AK23=1,REPLACE(1,1,1,"صد"),IF(AK23=2,REPLACE(2,1,1,"دویست"),IF(AK23=3,REPLACE(3,1,1,"سیصد"),IF(AK23=4,REPLACE(4,1,1,"چهارصد"),IF(AK23=5,REPLACE(5,1,1,"پانصد"),"")))))</f>
        <v/>
      </c>
      <c r="AM23" s="204" t="str">
        <f>IF(AK23=6,REPLACE(6,1,1,"ششصد"),IF(AK23=7,REPLACE(7,1,1,"هفتصد"),IF(AK23=8,REPLACE(8,1,1,"هشتصد"),IF(AK23=9,REPLACE(9,1,1,"نهصد"),""))))</f>
        <v/>
      </c>
      <c r="AN23" s="204"/>
      <c r="AO23" s="204"/>
      <c r="AP23" s="204" t="str">
        <f>IF(AK23&lt;6,AL23,AM23)</f>
        <v/>
      </c>
      <c r="AQ23" s="204" t="str">
        <f>IF(AK23=0,"",(IF(AK24+AK25=0,""," و ")))</f>
        <v/>
      </c>
      <c r="AR23" s="204"/>
      <c r="AS23" s="205"/>
      <c r="AT23" s="204"/>
      <c r="AU23" s="209">
        <f>INT(G11/10^2)-INT(G11/10^3)*10</f>
        <v>7</v>
      </c>
      <c r="AV23" s="206" t="str">
        <f>IF(AU23=1,REPLACE(1,1,1,"صد"),IF(AU23=2,REPLACE(2,1,1,"دویست"),IF(AU23=3,REPLACE(3,1,1,"سیصد"),IF(AU23=4,REPLACE(4,1,1,"چهارصد"),IF(AU23=5,REPLACE(5,1,1,"پانصد"),"")))))</f>
        <v/>
      </c>
      <c r="AW23" s="206" t="str">
        <f>IF(AU23=6,REPLACE(6,1,1,"ششصد"),IF(AU23=7,REPLACE(7,1,1,"هفتصد"),IF(AU23=8,REPLACE(8,1,1,"هشتصد"),IF(AU23=9,REPLACE(9,1,1,"نهصد"),""))))</f>
        <v>هفتصد</v>
      </c>
      <c r="AX23" s="206"/>
      <c r="AY23" s="206"/>
      <c r="AZ23" s="206" t="str">
        <f>IF(AU23&lt;6,AV23,AW23)</f>
        <v>هفتصد</v>
      </c>
      <c r="BA23" s="206" t="str">
        <f>IF(AU23=0,"",(IF(AU24+AU25=0,""," و ")))</f>
        <v xml:space="preserve"> و </v>
      </c>
      <c r="BB23" s="206"/>
      <c r="BC23" s="207"/>
      <c r="BD23" s="197"/>
      <c r="BE23" s="209">
        <f>INT(J16/10^2)-INT(J16/10^3)*10</f>
        <v>0</v>
      </c>
      <c r="BF23" s="206" t="str">
        <f>IF(BE23=1,REPLACE(1,1,1,"صد"),IF(BE23=2,REPLACE(2,1,1,"دویست"),IF(BE23=3,REPLACE(3,1,1,"سیصد"),IF(BE23=4,REPLACE(4,1,1,"چهارصد"),IF(BE23=5,REPLACE(5,1,1,"پانصد"),"")))))</f>
        <v/>
      </c>
      <c r="BG23" s="206" t="str">
        <f>IF(BE23=6,REPLACE(6,1,1,"ششصد"),IF(BE23=7,REPLACE(7,1,1,"هفتصد"),IF(BE23=8,REPLACE(8,1,1,"هشتصد"),IF(BE23=9,REPLACE(9,1,1,"نهصد"),""))))</f>
        <v/>
      </c>
      <c r="BH23" s="206"/>
      <c r="BI23" s="206"/>
      <c r="BJ23" s="206" t="str">
        <f>IF(BE23&lt;6,BF23,BG23)</f>
        <v/>
      </c>
      <c r="BK23" s="206" t="str">
        <f>IF(BE23=0,"",(IF(BE24+BE25=0,""," و ")))</f>
        <v/>
      </c>
      <c r="BL23" s="206"/>
      <c r="BM23" s="207"/>
      <c r="BN23" s="197"/>
      <c r="BO23" s="209">
        <f>INT(J18/10^2)-INT(J18/10^3)*10</f>
        <v>0</v>
      </c>
      <c r="BP23" s="206" t="str">
        <f>IF(BO23=1,REPLACE(1,1,1,"صد"),IF(BO23=2,REPLACE(2,1,1,"دویست"),IF(BO23=3,REPLACE(3,1,1,"سیصد"),IF(BO23=4,REPLACE(4,1,1,"چهارصد"),IF(BO23=5,REPLACE(5,1,1,"پانصد"),"")))))</f>
        <v/>
      </c>
      <c r="BQ23" s="206" t="str">
        <f>IF(BO23=6,REPLACE(6,1,1,"ششصد"),IF(BO23=7,REPLACE(7,1,1,"هفتصد"),IF(BO23=8,REPLACE(8,1,1,"هشتصد"),IF(BO23=9,REPLACE(9,1,1,"نهصد"),""))))</f>
        <v/>
      </c>
      <c r="BR23" s="206"/>
      <c r="BS23" s="206"/>
      <c r="BT23" s="206" t="str">
        <f>IF(BO23&lt;6,BP23,BQ23)</f>
        <v/>
      </c>
      <c r="BU23" s="206" t="str">
        <f>IF(BO23=0,"",(IF(BO24+BO25=0,""," و ")))</f>
        <v/>
      </c>
      <c r="BV23" s="206"/>
      <c r="BW23" s="207"/>
    </row>
    <row r="24" spans="1:75" ht="24.75" customHeight="1">
      <c r="A24" s="453" t="str">
        <f>اطلاعات!B18</f>
        <v>پیمانکار :  مهندسین پیمانکار ....</v>
      </c>
      <c r="B24" s="453"/>
      <c r="C24" s="453"/>
      <c r="D24" s="453"/>
      <c r="E24" s="453" t="str">
        <f>اطلاعات!B17</f>
        <v>مشاور :  مهندسین مشاور ....</v>
      </c>
      <c r="F24" s="453"/>
      <c r="G24" s="453"/>
      <c r="H24" s="453"/>
      <c r="I24" s="453"/>
      <c r="J24" s="453"/>
      <c r="K24" s="57"/>
      <c r="L24" s="454" t="str">
        <f>اطلاعات!B15</f>
        <v>کارفرما : اداره کل نوسازی مدارس استان ....</v>
      </c>
      <c r="M24" s="455"/>
      <c r="N24" s="454"/>
      <c r="Q24" s="208">
        <f>INT(J11/10^1)-INT(J11/10^2)*10</f>
        <v>0</v>
      </c>
      <c r="R24" s="204" t="str">
        <f>IF(Q24=1,REPLACE(1,1,1,"ده"),IF(Q24=2,REPLACE(2,1,1,"بیست"),IF(Q24=3,REPLACE(3,1,1,"سی"),IF(Q24=4,REPLACE(4,1,1,"چهل"),IF(Q24=5,REPLACE(5,1,1,"پنجاه"),"")))))</f>
        <v/>
      </c>
      <c r="S24" s="204" t="str">
        <f>IF(Q24=6,REPLACE(6,1,1,"شصت"),IF(Q24=7,REPLACE(7,1,1,"هفتاد"),IF(Q24=8,REPLACE(8,1,1,"هشتاد"),IF(Q24=9,REPLACE(9,1,1,"نود"),""))))</f>
        <v/>
      </c>
      <c r="T24" s="204" t="str">
        <f>IF(Q24=1,IF(Q25=0,"ده",IF(Q25=1,"یازده",IF(Q25=2,"دوازده",IF(Q25=3,"سیزده",IF(Q25=4,"چهارده",IF(Q25=5,"پانزده","")))))),"")</f>
        <v/>
      </c>
      <c r="U24" s="204" t="str">
        <f>IF(Q24=1,IF(Q25=6,"شانزده",IF(Q25=7,"هفده",IF(Q25=8,"هجده",IF(Q25=9,"نوزده","")))),"")</f>
        <v/>
      </c>
      <c r="V24" s="204" t="str">
        <f>IF(Q24=1,IF(Q25&lt;6,T24,U24),IF(Q24&lt;6,R24,S24))</f>
        <v/>
      </c>
      <c r="W24" s="204" t="str">
        <f>IF(Q24&lt;2,"",IF(Q25=0,""," و "))</f>
        <v/>
      </c>
      <c r="X24" s="204"/>
      <c r="Y24" s="205"/>
      <c r="Z24" s="196"/>
      <c r="AA24" s="208">
        <f>INT(M16/10^1)-INT(M16/10^2)*10</f>
        <v>0</v>
      </c>
      <c r="AB24" s="204" t="str">
        <f>IF(AA24=1,REPLACE(1,1,1,"ده"),IF(AA24=2,REPLACE(2,1,1,"بیست"),IF(AA24=3,REPLACE(3,1,1,"سی"),IF(AA24=4,REPLACE(4,1,1,"چهل"),IF(AA24=5,REPLACE(5,1,1,"پنجاه"),"")))))</f>
        <v/>
      </c>
      <c r="AC24" s="204" t="str">
        <f>IF(AA24=6,REPLACE(6,1,1,"شصت"),IF(AA24=7,REPLACE(7,1,1,"هفتاد"),IF(AA24=8,REPLACE(8,1,1,"هشتاد"),IF(AA24=9,REPLACE(9,1,1,"نود"),""))))</f>
        <v/>
      </c>
      <c r="AD24" s="204" t="str">
        <f>IF(AA24=1,IF(AA25=0,"ده",IF(AA25=1,"یازده",IF(AA25=2,"دوازده",IF(AA25=3,"سیزده",IF(AA25=4,"چهارده",IF(AA25=5,"پانزده","")))))),"")</f>
        <v/>
      </c>
      <c r="AE24" s="204" t="str">
        <f>IF(AA24=1,IF(AA25=6,"شانزده",IF(AA25=7,"هفده",IF(AA25=8,"هجده",IF(AA25=9,"نوزده","")))),"")</f>
        <v/>
      </c>
      <c r="AF24" s="204" t="str">
        <f>IF(AA24=1,IF(AA25&lt;6,AD24,AE24),IF(AA24&lt;6,AB24,AC24))</f>
        <v/>
      </c>
      <c r="AG24" s="204" t="str">
        <f>IF(AA24&lt;2,"",IF(AA25=0,""," و "))</f>
        <v/>
      </c>
      <c r="AH24" s="204"/>
      <c r="AI24" s="205"/>
      <c r="AJ24" s="206"/>
      <c r="AK24" s="208">
        <f>INT(M18/10^1)-INT(M18/10^2)*10</f>
        <v>0</v>
      </c>
      <c r="AL24" s="204" t="str">
        <f>IF(AK24=1,REPLACE(1,1,1,"ده"),IF(AK24=2,REPLACE(2,1,1,"بیست"),IF(AK24=3,REPLACE(3,1,1,"سی"),IF(AK24=4,REPLACE(4,1,1,"چهل"),IF(AK24=5,REPLACE(5,1,1,"پنجاه"),"")))))</f>
        <v/>
      </c>
      <c r="AM24" s="204" t="str">
        <f>IF(AK24=6,REPLACE(6,1,1,"شصت"),IF(AK24=7,REPLACE(7,1,1,"هفتاد"),IF(AK24=8,REPLACE(8,1,1,"هشتاد"),IF(AK24=9,REPLACE(9,1,1,"نود"),""))))</f>
        <v/>
      </c>
      <c r="AN24" s="204" t="str">
        <f>IF(AK24=1,IF(AK25=0,"ده",IF(AK25=1,"یازده",IF(AK25=2,"دوازده",IF(AK25=3,"سیزده",IF(AK25=4,"چهارده",IF(AK25=5,"پانزده","")))))),"")</f>
        <v/>
      </c>
      <c r="AO24" s="204" t="str">
        <f>IF(AK24=1,IF(AK25=6,"شانزده",IF(AK25=7,"هفده",IF(AK25=8,"هجده",IF(AK25=9,"نوزده","")))),"")</f>
        <v/>
      </c>
      <c r="AP24" s="204" t="str">
        <f>IF(AK24=1,IF(AK25&lt;6,AN24,AO24),IF(AK24&lt;6,AL24,AM24))</f>
        <v/>
      </c>
      <c r="AQ24" s="204" t="str">
        <f>IF(AK24&lt;2,"",IF(AK25=0,""," و "))</f>
        <v/>
      </c>
      <c r="AR24" s="204"/>
      <c r="AS24" s="205"/>
      <c r="AT24" s="204"/>
      <c r="AU24" s="209">
        <f>INT(G11/10^1)-INT(G11/10^2)*10</f>
        <v>6</v>
      </c>
      <c r="AV24" s="206" t="str">
        <f>IF(AU24=1,REPLACE(1,1,1,"ده"),IF(AU24=2,REPLACE(2,1,1,"بیست"),IF(AU24=3,REPLACE(3,1,1,"سی"),IF(AU24=4,REPLACE(4,1,1,"چهل"),IF(AU24=5,REPLACE(5,1,1,"پنجاه"),"")))))</f>
        <v/>
      </c>
      <c r="AW24" s="206" t="str">
        <f>IF(AU24=6,REPLACE(6,1,1,"شصت"),IF(AU24=7,REPLACE(7,1,1,"هفتاد"),IF(AU24=8,REPLACE(8,1,1,"هشتاد"),IF(AU24=9,REPLACE(9,1,1,"نود"),""))))</f>
        <v>شصت</v>
      </c>
      <c r="AX24" s="206" t="str">
        <f>IF(AU24=1,IF(AU25=0,"ده",IF(AU25=1,"یازده",IF(AU25=2,"دوازده",IF(AU25=3,"سیزده",IF(AU25=4,"چهارده",IF(AU25=5,"پانزده","")))))),"")</f>
        <v/>
      </c>
      <c r="AY24" s="206" t="str">
        <f>IF(AU24=1,IF(AU25=6,"شانزده",IF(AU25=7,"هفده",IF(AU25=8,"هجده",IF(AU25=9,"نوزده","")))),"")</f>
        <v/>
      </c>
      <c r="AZ24" s="206" t="str">
        <f>IF(AU24=1,IF(AU25&lt;6,AX24,AY24),IF(AU24&lt;6,AV24,AW24))</f>
        <v>شصت</v>
      </c>
      <c r="BA24" s="206" t="str">
        <f>IF(AU24&lt;2,"",IF(AU25=0,""," و "))</f>
        <v xml:space="preserve"> و </v>
      </c>
      <c r="BB24" s="206"/>
      <c r="BC24" s="207"/>
      <c r="BD24" s="197"/>
      <c r="BE24" s="209">
        <f>INT(J16/10^1)-INT(J16/10^2)*10</f>
        <v>0</v>
      </c>
      <c r="BF24" s="206" t="str">
        <f>IF(BE24=1,REPLACE(1,1,1,"ده"),IF(BE24=2,REPLACE(2,1,1,"بیست"),IF(BE24=3,REPLACE(3,1,1,"سی"),IF(BE24=4,REPLACE(4,1,1,"چهل"),IF(BE24=5,REPLACE(5,1,1,"پنجاه"),"")))))</f>
        <v/>
      </c>
      <c r="BG24" s="206" t="str">
        <f>IF(BE24=6,REPLACE(6,1,1,"شصت"),IF(BE24=7,REPLACE(7,1,1,"هفتاد"),IF(BE24=8,REPLACE(8,1,1,"هشتاد"),IF(BE24=9,REPLACE(9,1,1,"نود"),""))))</f>
        <v/>
      </c>
      <c r="BH24" s="206" t="str">
        <f>IF(BE24=1,IF(BE25=0,"ده",IF(BE25=1,"یازده",IF(BE25=2,"دوازده",IF(BE25=3,"سیزده",IF(BE25=4,"چهارده",IF(BE25=5,"پانزده","")))))),"")</f>
        <v/>
      </c>
      <c r="BI24" s="206" t="str">
        <f>IF(BE24=1,IF(BE25=6,"شانزده",IF(BE25=7,"هفده",IF(BE25=8,"هجده",IF(BE25=9,"نوزده","")))),"")</f>
        <v/>
      </c>
      <c r="BJ24" s="206" t="str">
        <f>IF(BE24=1,IF(BE25&lt;6,BH24,BI24),IF(BE24&lt;6,BF24,BG24))</f>
        <v/>
      </c>
      <c r="BK24" s="206" t="str">
        <f>IF(BE24&lt;2,"",IF(BE25=0,""," و "))</f>
        <v/>
      </c>
      <c r="BL24" s="206"/>
      <c r="BM24" s="207"/>
      <c r="BN24" s="197"/>
      <c r="BO24" s="209">
        <f>INT(J18/10^1)-INT(J18/10^2)*10</f>
        <v>0</v>
      </c>
      <c r="BP24" s="206" t="str">
        <f>IF(BO24=1,REPLACE(1,1,1,"ده"),IF(BO24=2,REPLACE(2,1,1,"بیست"),IF(BO24=3,REPLACE(3,1,1,"سی"),IF(BO24=4,REPLACE(4,1,1,"چهل"),IF(BO24=5,REPLACE(5,1,1,"پنجاه"),"")))))</f>
        <v/>
      </c>
      <c r="BQ24" s="206" t="str">
        <f>IF(BO24=6,REPLACE(6,1,1,"شصت"),IF(BO24=7,REPLACE(7,1,1,"هفتاد"),IF(BO24=8,REPLACE(8,1,1,"هشتاد"),IF(BO24=9,REPLACE(9,1,1,"نود"),""))))</f>
        <v/>
      </c>
      <c r="BR24" s="206" t="str">
        <f>IF(BO24=1,IF(BO25=0,"ده",IF(BO25=1,"یازده",IF(BO25=2,"دوازده",IF(BO25=3,"سیزده",IF(BO25=4,"چهارده",IF(BO25=5,"پانزده","")))))),"")</f>
        <v/>
      </c>
      <c r="BS24" s="206" t="str">
        <f>IF(BO24=1,IF(BO25=6,"شانزده",IF(BO25=7,"هفده",IF(BO25=8,"هجده",IF(BO25=9,"نوزده","")))),"")</f>
        <v/>
      </c>
      <c r="BT24" s="206" t="str">
        <f>IF(BO24=1,IF(BO25&lt;6,BR24,BS24),IF(BO24&lt;6,BP24,BQ24))</f>
        <v/>
      </c>
      <c r="BU24" s="206" t="str">
        <f>IF(BO24&lt;2,"",IF(BO25=0,""," و "))</f>
        <v/>
      </c>
      <c r="BV24" s="206"/>
      <c r="BW24" s="207"/>
    </row>
    <row r="25" spans="1:75" ht="23.4">
      <c r="Q25" s="208">
        <f>IF(10-(INT(J11*-1)-INT(J11/-10)*10)=10,0,10-(INT(J11*-1)-INT(J11/-10)*10))</f>
        <v>0</v>
      </c>
      <c r="R25" s="204" t="str">
        <f>IF(Q25=1,REPLACE(1,1,1,"یک"),IF(Q25=2,REPLACE(2,1,1,"دو"),IF(Q25=3,REPLACE(3,1,1,"سه"),IF(Q25=4,REPLACE(4,1,1,"چهار"),IF(Q25=5,REPLACE(5,1,1,"پنج"),"")))))</f>
        <v/>
      </c>
      <c r="S25" s="204" t="str">
        <f>IF(Q25=6,REPLACE(6,1,1,"شش"),IF(Q25=7,REPLACE(7,1,1,"هفت"),IF(Q25=8,REPLACE(8,1,1,"هشت"),IF(Q25=9,REPLACE(9,1,1,"نه"),""))))</f>
        <v/>
      </c>
      <c r="T25" s="204"/>
      <c r="U25" s="204"/>
      <c r="V25" s="204" t="str">
        <f>IF(Q24=1,"",IF(Q25&lt;6,R25,S25))</f>
        <v/>
      </c>
      <c r="W25" s="204"/>
      <c r="X25" s="204"/>
      <c r="Y25" s="205"/>
      <c r="Z25" s="196"/>
      <c r="AA25" s="208">
        <f>IF(10-(INT(M16*-1)-INT(M16/-10)*10)=10,0,10-(INT(M16*-1)-INT(M16/-10)*10))</f>
        <v>0</v>
      </c>
      <c r="AB25" s="204" t="str">
        <f>IF(AA25=1,REPLACE(1,1,1,"یک"),IF(AA25=2,REPLACE(2,1,1,"دو"),IF(AA25=3,REPLACE(3,1,1,"سه"),IF(AA25=4,REPLACE(4,1,1,"چهار"),IF(AA25=5,REPLACE(5,1,1,"پنج"),"")))))</f>
        <v/>
      </c>
      <c r="AC25" s="204" t="str">
        <f>IF(AA25=6,REPLACE(6,1,1,"شش"),IF(AA25=7,REPLACE(7,1,1,"هفت"),IF(AA25=8,REPLACE(8,1,1,"هشت"),IF(AA25=9,REPLACE(9,1,1,"نه"),""))))</f>
        <v/>
      </c>
      <c r="AD25" s="204"/>
      <c r="AE25" s="204"/>
      <c r="AF25" s="204" t="str">
        <f>IF(AA24=1,"",IF(AA25&lt;6,AB25,AC25))</f>
        <v/>
      </c>
      <c r="AG25" s="204"/>
      <c r="AH25" s="204"/>
      <c r="AI25" s="205"/>
      <c r="AJ25" s="206"/>
      <c r="AK25" s="208">
        <f>IF(10-(INT(M18*-1)-INT(M18/-10)*10)=10,0,10-(INT(M18*-1)-INT(M18/-10)*10))</f>
        <v>0</v>
      </c>
      <c r="AL25" s="204" t="str">
        <f>IF(AK25=1,REPLACE(1,1,1,"یک"),IF(AK25=2,REPLACE(2,1,1,"دو"),IF(AK25=3,REPLACE(3,1,1,"سه"),IF(AK25=4,REPLACE(4,1,1,"چهار"),IF(AK25=5,REPLACE(5,1,1,"پنج"),"")))))</f>
        <v/>
      </c>
      <c r="AM25" s="204" t="str">
        <f>IF(AK25=6,REPLACE(6,1,1,"شش"),IF(AK25=7,REPLACE(7,1,1,"هفت"),IF(AK25=8,REPLACE(8,1,1,"هشت"),IF(AK25=9,REPLACE(9,1,1,"نه"),""))))</f>
        <v/>
      </c>
      <c r="AN25" s="204"/>
      <c r="AO25" s="204"/>
      <c r="AP25" s="204" t="str">
        <f>IF(AK24=1,"",IF(AK25&lt;6,AL25,AM25))</f>
        <v/>
      </c>
      <c r="AQ25" s="204"/>
      <c r="AR25" s="204"/>
      <c r="AS25" s="205"/>
      <c r="AT25" s="204"/>
      <c r="AU25" s="209">
        <f>IF(10-(INT(G11*-1)-INT(G11/-10)*10)=10,0,10-(INT(G11*-1)-INT(G11/-10)*10))</f>
        <v>4</v>
      </c>
      <c r="AV25" s="206" t="str">
        <f>IF(AU25=1,REPLACE(1,1,1,"یک"),IF(AU25=2,REPLACE(2,1,1,"دو"),IF(AU25=3,REPLACE(3,1,1,"سه"),IF(AU25=4,REPLACE(4,1,1,"چهار"),IF(AU25=5,REPLACE(5,1,1,"پنج"),"")))))</f>
        <v>چهار</v>
      </c>
      <c r="AW25" s="206" t="str">
        <f>IF(AU25=6,REPLACE(6,1,1,"شش"),IF(AU25=7,REPLACE(7,1,1,"هفت"),IF(AU25=8,REPLACE(8,1,1,"هشت"),IF(AU25=9,REPLACE(9,1,1,"نه"),""))))</f>
        <v/>
      </c>
      <c r="AX25" s="206"/>
      <c r="AY25" s="206"/>
      <c r="AZ25" s="206" t="str">
        <f>IF(AU24=1,"",IF(AU25&lt;6,AV25,AW25))</f>
        <v>چهار</v>
      </c>
      <c r="BA25" s="206"/>
      <c r="BB25" s="206"/>
      <c r="BC25" s="207"/>
      <c r="BD25" s="197"/>
      <c r="BE25" s="209">
        <f>IF(10-(INT(J16*-1)-INT(J16/-10)*10)=10,0,10-(INT(J16*-1)-INT(J16/-10)*10))</f>
        <v>0</v>
      </c>
      <c r="BF25" s="206" t="str">
        <f>IF(BE25=1,REPLACE(1,1,1,"یک"),IF(BE25=2,REPLACE(2,1,1,"دو"),IF(BE25=3,REPLACE(3,1,1,"سه"),IF(BE25=4,REPLACE(4,1,1,"چهار"),IF(BE25=5,REPLACE(5,1,1,"پنج"),"")))))</f>
        <v/>
      </c>
      <c r="BG25" s="206" t="str">
        <f>IF(BE25=6,REPLACE(6,1,1,"شش"),IF(BE25=7,REPLACE(7,1,1,"هفت"),IF(BE25=8,REPLACE(8,1,1,"هشت"),IF(BE25=9,REPLACE(9,1,1,"نه"),""))))</f>
        <v/>
      </c>
      <c r="BH25" s="206"/>
      <c r="BI25" s="206"/>
      <c r="BJ25" s="206" t="str">
        <f>IF(BE24=1,"",IF(BE25&lt;6,BF25,BG25))</f>
        <v/>
      </c>
      <c r="BK25" s="206"/>
      <c r="BL25" s="206"/>
      <c r="BM25" s="207"/>
      <c r="BN25" s="197"/>
      <c r="BO25" s="209">
        <f>IF(10-(INT(J18*-1)-INT(J18/-10)*10)=10,0,10-(INT(J18*-1)-INT(J18/-10)*10))</f>
        <v>0</v>
      </c>
      <c r="BP25" s="206" t="str">
        <f>IF(BO25=1,REPLACE(1,1,1,"یک"),IF(BO25=2,REPLACE(2,1,1,"دو"),IF(BO25=3,REPLACE(3,1,1,"سه"),IF(BO25=4,REPLACE(4,1,1,"چهار"),IF(BO25=5,REPLACE(5,1,1,"پنج"),"")))))</f>
        <v/>
      </c>
      <c r="BQ25" s="206" t="str">
        <f>IF(BO25=6,REPLACE(6,1,1,"شش"),IF(BO25=7,REPLACE(7,1,1,"هفت"),IF(BO25=8,REPLACE(8,1,1,"هشت"),IF(BO25=9,REPLACE(9,1,1,"نه"),""))))</f>
        <v/>
      </c>
      <c r="BR25" s="206"/>
      <c r="BS25" s="206"/>
      <c r="BT25" s="206" t="str">
        <f>IF(BO24=1,"",IF(BO25&lt;6,BP25,BQ25))</f>
        <v/>
      </c>
      <c r="BU25" s="206"/>
      <c r="BV25" s="206"/>
      <c r="BW25" s="207"/>
    </row>
    <row r="26" spans="1:75" ht="23.4">
      <c r="Q26" s="484">
        <f>Q12*10^11+Q15*10^10+Q16*10^9+Q17*10^8+Q18*10^7+Q19*10^6+Q20*10^5+Q21*10^4+Q22*1000+Q23*100+Q24*10+Q25</f>
        <v>0</v>
      </c>
      <c r="R26" s="485"/>
      <c r="S26" s="485"/>
      <c r="T26" s="485"/>
      <c r="U26" s="485"/>
      <c r="V26" s="210"/>
      <c r="W26" s="485"/>
      <c r="X26" s="485"/>
      <c r="Y26" s="211"/>
      <c r="Z26" s="196"/>
      <c r="AA26" s="484">
        <f>AA12*10^11+AA15*10^10+AA16*10^9+AA17*10^8+AA18*10^7+AA19*10^6+AA20*10^5+AA21*10^4+AA22*1000+AA23*100+AA24*10+AA25</f>
        <v>0</v>
      </c>
      <c r="AB26" s="485"/>
      <c r="AC26" s="485"/>
      <c r="AD26" s="485"/>
      <c r="AE26" s="485"/>
      <c r="AF26" s="210"/>
      <c r="AG26" s="485"/>
      <c r="AH26" s="485"/>
      <c r="AI26" s="211"/>
      <c r="AJ26" s="212"/>
      <c r="AK26" s="484">
        <f>AK12*10^11+AK15*10^10+AK16*10^9+AK17*10^8+AK18*10^7+AK19*10^6+AK20*10^5+AK21*10^4+AK22*1000+AK23*100+AK24*10+AK25</f>
        <v>0</v>
      </c>
      <c r="AL26" s="485"/>
      <c r="AM26" s="485"/>
      <c r="AN26" s="485"/>
      <c r="AO26" s="485"/>
      <c r="AP26" s="210"/>
      <c r="AQ26" s="485"/>
      <c r="AR26" s="485"/>
      <c r="AS26" s="211"/>
      <c r="AT26" s="213"/>
      <c r="AU26" s="486">
        <f>AU12*10^11+AU15*10^10+AU16*10^9+AU17*10^8+AU18*10^7+AU19*10^6+AU20*10^5+AU21*10^4+AU22*1000+AU23*100+AU24*10+AU25</f>
        <v>40154494764</v>
      </c>
      <c r="AV26" s="487"/>
      <c r="AW26" s="487"/>
      <c r="AX26" s="487"/>
      <c r="AY26" s="487"/>
      <c r="AZ26" s="214"/>
      <c r="BA26" s="487"/>
      <c r="BB26" s="487"/>
      <c r="BC26" s="215"/>
      <c r="BD26" s="197"/>
      <c r="BE26" s="486">
        <f>BE12*10^11+BE15*10^10+BE16*10^9+BE17*10^8+BE18*10^7+BE19*10^6+BE20*10^5+BE21*10^4+BE22*1000+BE23*100+BE24*10+BE25</f>
        <v>0</v>
      </c>
      <c r="BF26" s="487"/>
      <c r="BG26" s="487"/>
      <c r="BH26" s="487"/>
      <c r="BI26" s="487"/>
      <c r="BJ26" s="214"/>
      <c r="BK26" s="487"/>
      <c r="BL26" s="487"/>
      <c r="BM26" s="215"/>
      <c r="BN26" s="197"/>
      <c r="BO26" s="486">
        <f>BO12*10^11+BO15*10^10+BO16*10^9+BO17*10^8+BO18*10^7+BO19*10^6+BO20*10^5+BO21*10^4+BO22*1000+BO23*100+BO24*10+BO25</f>
        <v>0</v>
      </c>
      <c r="BP26" s="487"/>
      <c r="BQ26" s="487"/>
      <c r="BR26" s="487"/>
      <c r="BS26" s="487"/>
      <c r="BT26" s="214"/>
      <c r="BU26" s="487"/>
      <c r="BV26" s="487"/>
      <c r="BW26" s="215"/>
    </row>
    <row r="27" spans="1:75" ht="23.4">
      <c r="Q27" s="492"/>
      <c r="R27" s="493"/>
      <c r="S27" s="493"/>
      <c r="T27" s="493"/>
      <c r="U27" s="493"/>
      <c r="V27" s="493"/>
      <c r="W27" s="493"/>
      <c r="X27" s="493"/>
      <c r="Y27" s="211"/>
      <c r="Z27" s="196"/>
      <c r="AA27" s="492"/>
      <c r="AB27" s="493"/>
      <c r="AC27" s="493"/>
      <c r="AD27" s="493"/>
      <c r="AE27" s="493"/>
      <c r="AF27" s="493"/>
      <c r="AG27" s="493"/>
      <c r="AH27" s="493"/>
      <c r="AI27" s="211"/>
      <c r="AJ27" s="212"/>
      <c r="AK27" s="492"/>
      <c r="AL27" s="493"/>
      <c r="AM27" s="493"/>
      <c r="AN27" s="493"/>
      <c r="AO27" s="493"/>
      <c r="AP27" s="493"/>
      <c r="AQ27" s="493"/>
      <c r="AR27" s="493"/>
      <c r="AS27" s="211"/>
      <c r="AT27" s="213"/>
      <c r="AU27" s="494"/>
      <c r="AV27" s="495"/>
      <c r="AW27" s="495"/>
      <c r="AX27" s="495"/>
      <c r="AY27" s="495"/>
      <c r="AZ27" s="495"/>
      <c r="BA27" s="495"/>
      <c r="BB27" s="495"/>
      <c r="BC27" s="215"/>
      <c r="BD27" s="197"/>
      <c r="BE27" s="494"/>
      <c r="BF27" s="495"/>
      <c r="BG27" s="495"/>
      <c r="BH27" s="495"/>
      <c r="BI27" s="495"/>
      <c r="BJ27" s="495"/>
      <c r="BK27" s="495"/>
      <c r="BL27" s="495"/>
      <c r="BM27" s="215"/>
      <c r="BN27" s="197"/>
      <c r="BO27" s="494"/>
      <c r="BP27" s="495"/>
      <c r="BQ27" s="495"/>
      <c r="BR27" s="495"/>
      <c r="BS27" s="495"/>
      <c r="BT27" s="495"/>
      <c r="BU27" s="495"/>
      <c r="BV27" s="495"/>
      <c r="BW27" s="215"/>
    </row>
    <row r="28" spans="1:75" ht="24" thickBot="1">
      <c r="Q28" s="490" t="str">
        <f>CONCATENATE(V12," ",W12,V15,W15,V16,X16,Y16,V17,W17,V18,W18,V19,X19,Y19,V20,W20,V21,W21,V22,X22,Y22,V23,W23,V24,W24,V25,X25)</f>
        <v xml:space="preserve"> </v>
      </c>
      <c r="R28" s="491"/>
      <c r="S28" s="491"/>
      <c r="T28" s="491"/>
      <c r="U28" s="491"/>
      <c r="V28" s="491"/>
      <c r="W28" s="491"/>
      <c r="X28" s="491"/>
      <c r="Y28" s="216"/>
      <c r="Z28" s="196"/>
      <c r="AA28" s="490" t="str">
        <f>CONCATENATE(AF12," ",AG12,AF15,AG15,AF16,AH16,AI16,AF17,AG17,AF18,AG18,AF19,AH19,AI19,AF20,AG20,AF21,AG21,AF22,AH22,AI22,AF23,AG23,AF24,AG24,AF25,AH25)</f>
        <v xml:space="preserve"> </v>
      </c>
      <c r="AB28" s="491"/>
      <c r="AC28" s="491"/>
      <c r="AD28" s="491"/>
      <c r="AE28" s="491"/>
      <c r="AF28" s="491"/>
      <c r="AG28" s="491"/>
      <c r="AH28" s="491"/>
      <c r="AI28" s="216"/>
      <c r="AJ28" s="217"/>
      <c r="AK28" s="490" t="str">
        <f>CONCATENATE(AP12," ",AQ12,AP15,AQ15,AP16,AR16,AS16,AP17,AQ17,AP18,AQ18,AP19,AR19,AS19,AP20,AQ20,AP21,AQ21,AP22,AR22,AS22,AP23,AQ23,AP24,AQ24,AP25,AR25)</f>
        <v xml:space="preserve"> </v>
      </c>
      <c r="AL28" s="491"/>
      <c r="AM28" s="491"/>
      <c r="AN28" s="491"/>
      <c r="AO28" s="491"/>
      <c r="AP28" s="491"/>
      <c r="AQ28" s="491"/>
      <c r="AR28" s="491"/>
      <c r="AS28" s="216"/>
      <c r="AT28" s="218"/>
      <c r="AU28" s="488" t="str">
        <f>CONCATENATE(AZ12," ",BA12,AZ15,BA15,AZ16,BB16,BC16,AZ17,BA17,AZ18,BA18,AZ19,BB19,BC19,AZ20,BA20,AZ21,BA21,AZ22,BB22,BC22,AZ23,BA23,AZ24,BA24,AZ25,BB25)</f>
        <v xml:space="preserve"> چهل میلیارد و صد و پنجاه و چهار میلیون و چهارصد و نود و چهار هزار و هفتصد و شصت و چهار</v>
      </c>
      <c r="AV28" s="489"/>
      <c r="AW28" s="489"/>
      <c r="AX28" s="489"/>
      <c r="AY28" s="489"/>
      <c r="AZ28" s="489"/>
      <c r="BA28" s="489"/>
      <c r="BB28" s="489"/>
      <c r="BC28" s="219"/>
      <c r="BD28" s="197"/>
      <c r="BE28" s="488" t="str">
        <f>CONCATENATE(BJ12," ",BK12,BJ15,BK15,BJ16,BL16,BM16,BJ17,BK17,BJ18,BK18,BJ19,BL19,BM19,BJ20,BK20,BJ21,BK21,BJ22,BL22,BM22,BJ23,BK23,BJ24,BK24,BJ25,BL25)</f>
        <v xml:space="preserve"> </v>
      </c>
      <c r="BF28" s="489"/>
      <c r="BG28" s="489"/>
      <c r="BH28" s="489"/>
      <c r="BI28" s="489"/>
      <c r="BJ28" s="489"/>
      <c r="BK28" s="489"/>
      <c r="BL28" s="489"/>
      <c r="BM28" s="219"/>
      <c r="BN28" s="197"/>
      <c r="BO28" s="488" t="str">
        <f>CONCATENATE(BT12," ",BU12,BT15,BU15,BT16,BV16,BW16,BT17,BU17,BT18,BU18,BT19,BV19,BW19,BT20,BU20,BT21,BU21,BT22,BV22,BW22,BT23,BU23,BT24,BU24,BT25,BV25)</f>
        <v xml:space="preserve"> </v>
      </c>
      <c r="BP28" s="489"/>
      <c r="BQ28" s="489"/>
      <c r="BR28" s="489"/>
      <c r="BS28" s="489"/>
      <c r="BT28" s="489"/>
      <c r="BU28" s="489"/>
      <c r="BV28" s="489"/>
      <c r="BW28" s="219"/>
    </row>
    <row r="29" spans="1:75" ht="16.2">
      <c r="Z29" s="196"/>
      <c r="BD29" s="197"/>
      <c r="BN29" s="197"/>
    </row>
    <row r="30" spans="1:75" ht="16.2">
      <c r="Z30" s="196"/>
      <c r="BD30" s="197"/>
      <c r="BN30" s="197"/>
    </row>
    <row r="31" spans="1:75" ht="16.2">
      <c r="Z31" s="196"/>
      <c r="BD31" s="197"/>
      <c r="BN31" s="197"/>
    </row>
    <row r="32" spans="1:75" ht="16.2">
      <c r="Z32" s="196"/>
      <c r="BD32" s="197"/>
      <c r="BN32" s="197"/>
    </row>
    <row r="33" spans="26:66" ht="16.2">
      <c r="Z33" s="196"/>
      <c r="BD33" s="197"/>
      <c r="BN33" s="197"/>
    </row>
    <row r="34" spans="26:66" ht="16.2">
      <c r="Z34" s="196"/>
      <c r="BD34" s="197"/>
      <c r="BN34" s="197"/>
    </row>
    <row r="35" spans="26:66" ht="16.2">
      <c r="Z35" s="196"/>
      <c r="BD35" s="197"/>
      <c r="BN35" s="197"/>
    </row>
    <row r="36" spans="26:66" ht="16.2">
      <c r="Z36" s="196"/>
      <c r="BD36" s="197"/>
      <c r="BN36" s="197"/>
    </row>
    <row r="37" spans="26:66" ht="16.2">
      <c r="Z37" s="196"/>
      <c r="BD37" s="197"/>
      <c r="BN37" s="197"/>
    </row>
    <row r="38" spans="26:66" ht="16.2">
      <c r="Z38" s="196"/>
      <c r="BD38" s="197"/>
      <c r="BN38" s="197"/>
    </row>
    <row r="39" spans="26:66" ht="16.2">
      <c r="Z39" s="196"/>
      <c r="BD39" s="197"/>
      <c r="BN39" s="197"/>
    </row>
    <row r="40" spans="26:66" ht="16.2">
      <c r="Z40" s="196"/>
      <c r="BD40" s="197"/>
      <c r="BN40" s="197"/>
    </row>
    <row r="41" spans="26:66" ht="16.2">
      <c r="Z41" s="196"/>
      <c r="BD41" s="197"/>
      <c r="BN41" s="197"/>
    </row>
    <row r="42" spans="26:66" ht="16.2">
      <c r="Z42" s="196"/>
      <c r="BD42" s="197"/>
      <c r="BN42" s="197"/>
    </row>
    <row r="43" spans="26:66" ht="16.2">
      <c r="Z43" s="196"/>
      <c r="BD43" s="197"/>
      <c r="BN43" s="197"/>
    </row>
    <row r="44" spans="26:66" ht="16.2">
      <c r="Z44" s="196"/>
      <c r="BD44" s="197"/>
      <c r="BN44" s="197"/>
    </row>
    <row r="45" spans="26:66" ht="16.2">
      <c r="Z45" s="196"/>
      <c r="BD45" s="197"/>
      <c r="BN45" s="197"/>
    </row>
    <row r="46" spans="26:66" ht="16.2">
      <c r="Z46" s="196"/>
      <c r="BD46" s="197"/>
      <c r="BN46" s="197"/>
    </row>
    <row r="47" spans="26:66" ht="16.2">
      <c r="Z47" s="196"/>
      <c r="BD47" s="197"/>
      <c r="BN47" s="197"/>
    </row>
    <row r="48" spans="26:66" ht="16.2">
      <c r="Z48" s="196"/>
      <c r="BD48" s="197"/>
      <c r="BN48" s="197"/>
    </row>
    <row r="49" spans="9:66" ht="16.2">
      <c r="Z49" s="196"/>
      <c r="BD49" s="197"/>
      <c r="BN49" s="197"/>
    </row>
    <row r="50" spans="9:66" ht="16.2">
      <c r="Z50" s="196"/>
      <c r="BD50" s="197"/>
      <c r="BN50" s="197"/>
    </row>
    <row r="51" spans="9:66" ht="16.2">
      <c r="Z51" s="196"/>
      <c r="BD51" s="197"/>
      <c r="BN51" s="197"/>
    </row>
    <row r="52" spans="9:66" ht="16.2">
      <c r="Z52" s="196"/>
      <c r="BD52" s="197"/>
      <c r="BN52" s="197"/>
    </row>
    <row r="53" spans="9:66" ht="16.2">
      <c r="I53" s="142"/>
      <c r="Z53" s="196"/>
      <c r="BD53" s="197"/>
      <c r="BN53" s="197"/>
    </row>
    <row r="54" spans="9:66" ht="16.2">
      <c r="Z54" s="196"/>
      <c r="BD54" s="197"/>
      <c r="BN54" s="197"/>
    </row>
    <row r="55" spans="9:66" ht="16.2">
      <c r="Z55" s="196"/>
      <c r="BD55" s="197"/>
      <c r="BN55" s="197"/>
    </row>
    <row r="56" spans="9:66" ht="16.2">
      <c r="Z56" s="196"/>
      <c r="BD56" s="197"/>
      <c r="BN56" s="197"/>
    </row>
    <row r="57" spans="9:66" ht="16.2">
      <c r="Z57" s="196"/>
      <c r="BD57" s="197"/>
      <c r="BN57" s="197"/>
    </row>
    <row r="58" spans="9:66" ht="16.2">
      <c r="Z58" s="196"/>
      <c r="BD58" s="197"/>
      <c r="BN58" s="197"/>
    </row>
    <row r="59" spans="9:66" ht="16.2">
      <c r="Z59" s="196"/>
      <c r="BD59" s="197"/>
      <c r="BN59" s="197"/>
    </row>
    <row r="60" spans="9:66" ht="16.2">
      <c r="Z60" s="196"/>
      <c r="BD60" s="197"/>
      <c r="BN60" s="197"/>
    </row>
    <row r="61" spans="9:66" ht="16.2">
      <c r="Z61" s="196"/>
      <c r="BD61" s="197"/>
      <c r="BN61" s="197"/>
    </row>
    <row r="62" spans="9:66" ht="16.2">
      <c r="Z62" s="196"/>
      <c r="BD62" s="197"/>
      <c r="BN62" s="197"/>
    </row>
    <row r="63" spans="9:66" ht="16.2">
      <c r="Z63" s="196"/>
      <c r="BD63" s="197"/>
      <c r="BN63" s="197"/>
    </row>
    <row r="64" spans="9:66" ht="16.2">
      <c r="Z64" s="196"/>
      <c r="BD64" s="197"/>
      <c r="BN64" s="197"/>
    </row>
    <row r="65" spans="7:66" ht="16.2">
      <c r="Z65" s="196"/>
      <c r="BD65" s="197"/>
      <c r="BN65" s="197"/>
    </row>
    <row r="66" spans="7:66" ht="16.2">
      <c r="Z66" s="196"/>
      <c r="BD66" s="197"/>
      <c r="BN66" s="197"/>
    </row>
    <row r="67" spans="7:66" ht="16.2">
      <c r="G67" s="146"/>
      <c r="I67" s="146"/>
      <c r="Z67" s="196"/>
      <c r="BD67" s="197"/>
      <c r="BN67" s="197"/>
    </row>
    <row r="68" spans="7:66" ht="16.2">
      <c r="Z68" s="196"/>
      <c r="BD68" s="197"/>
      <c r="BN68" s="197"/>
    </row>
    <row r="69" spans="7:66" ht="16.2">
      <c r="Z69" s="196"/>
      <c r="BD69" s="197"/>
      <c r="BN69" s="197"/>
    </row>
    <row r="70" spans="7:66" ht="16.2">
      <c r="Z70" s="196"/>
      <c r="BD70" s="197"/>
      <c r="BN70" s="197"/>
    </row>
    <row r="71" spans="7:66" ht="16.2">
      <c r="G71" s="146"/>
      <c r="I71" s="146"/>
      <c r="Z71" s="196"/>
      <c r="BD71" s="197"/>
      <c r="BN71" s="197"/>
    </row>
    <row r="72" spans="7:66" ht="16.2">
      <c r="Z72" s="196"/>
      <c r="BD72" s="197"/>
      <c r="BN72" s="197"/>
    </row>
    <row r="73" spans="7:66" ht="16.2">
      <c r="Z73" s="196"/>
      <c r="BD73" s="197"/>
      <c r="BN73" s="197"/>
    </row>
    <row r="74" spans="7:66" ht="16.2">
      <c r="Z74" s="196"/>
      <c r="BD74" s="197"/>
      <c r="BN74" s="197"/>
    </row>
    <row r="75" spans="7:66" ht="16.2">
      <c r="Z75" s="196"/>
      <c r="BD75" s="197"/>
      <c r="BN75" s="197"/>
    </row>
    <row r="76" spans="7:66" ht="16.2">
      <c r="Z76" s="196"/>
      <c r="BD76" s="197"/>
      <c r="BN76" s="197"/>
    </row>
    <row r="77" spans="7:66" ht="16.2">
      <c r="Z77" s="196"/>
      <c r="BD77" s="197"/>
      <c r="BN77" s="197"/>
    </row>
    <row r="78" spans="7:66" ht="16.2">
      <c r="Z78" s="196"/>
      <c r="BD78" s="197"/>
      <c r="BN78" s="197"/>
    </row>
    <row r="79" spans="7:66" ht="16.2">
      <c r="G79" s="142"/>
      <c r="Z79" s="196"/>
      <c r="BD79" s="197"/>
      <c r="BN79" s="197"/>
    </row>
    <row r="80" spans="7:66" ht="16.2">
      <c r="G80" s="142"/>
      <c r="I80" s="142"/>
      <c r="Z80" s="196"/>
      <c r="BD80" s="197"/>
      <c r="BN80" s="197"/>
    </row>
    <row r="81" spans="7:66" ht="16.2">
      <c r="Z81" s="196"/>
      <c r="BD81" s="197"/>
      <c r="BN81" s="197"/>
    </row>
    <row r="82" spans="7:66" ht="16.2">
      <c r="Z82" s="196"/>
      <c r="BD82" s="197"/>
      <c r="BN82" s="197"/>
    </row>
    <row r="83" spans="7:66" ht="16.2">
      <c r="Z83" s="196"/>
      <c r="BD83" s="197"/>
      <c r="BN83" s="197"/>
    </row>
    <row r="84" spans="7:66" ht="16.2">
      <c r="Z84" s="196"/>
      <c r="BD84" s="197"/>
      <c r="BN84" s="197"/>
    </row>
    <row r="85" spans="7:66" ht="16.2">
      <c r="Z85" s="196"/>
      <c r="BD85" s="197"/>
      <c r="BN85" s="197"/>
    </row>
    <row r="86" spans="7:66" ht="16.2">
      <c r="Z86" s="196"/>
      <c r="BD86" s="197"/>
      <c r="BN86" s="197"/>
    </row>
    <row r="87" spans="7:66" ht="16.2">
      <c r="Z87" s="196"/>
      <c r="BD87" s="197"/>
      <c r="BN87" s="197"/>
    </row>
    <row r="88" spans="7:66" ht="16.2">
      <c r="Z88" s="196"/>
      <c r="BD88" s="197"/>
      <c r="BN88" s="197"/>
    </row>
    <row r="89" spans="7:66" ht="16.2">
      <c r="Z89" s="196"/>
      <c r="BD89" s="197"/>
      <c r="BN89" s="197"/>
    </row>
    <row r="90" spans="7:66" ht="16.2">
      <c r="Z90" s="196"/>
      <c r="BD90" s="197"/>
      <c r="BN90" s="197"/>
    </row>
    <row r="91" spans="7:66" ht="16.2">
      <c r="Z91" s="196"/>
      <c r="BD91" s="197"/>
      <c r="BN91" s="197"/>
    </row>
    <row r="92" spans="7:66" ht="16.2">
      <c r="Z92" s="196"/>
      <c r="BD92" s="197"/>
      <c r="BN92" s="197"/>
    </row>
    <row r="93" spans="7:66" ht="16.2">
      <c r="Z93" s="196"/>
      <c r="BD93" s="197"/>
      <c r="BN93" s="197"/>
    </row>
    <row r="94" spans="7:66" ht="16.2">
      <c r="Z94" s="196"/>
      <c r="BD94" s="197"/>
      <c r="BN94" s="197"/>
    </row>
    <row r="95" spans="7:66" ht="16.2">
      <c r="Z95" s="196"/>
      <c r="BD95" s="197"/>
      <c r="BN95" s="197"/>
    </row>
    <row r="96" spans="7:66" ht="16.2">
      <c r="G96" s="142"/>
      <c r="Z96" s="196"/>
      <c r="BD96" s="197"/>
      <c r="BN96" s="197"/>
    </row>
    <row r="97" spans="7:66" ht="16.2">
      <c r="Z97" s="196"/>
      <c r="BD97" s="197"/>
      <c r="BN97" s="197"/>
    </row>
    <row r="98" spans="7:66" ht="16.2">
      <c r="Z98" s="196"/>
      <c r="BD98" s="197"/>
      <c r="BN98" s="197"/>
    </row>
    <row r="99" spans="7:66" ht="16.2">
      <c r="Z99" s="196"/>
      <c r="BD99" s="197"/>
      <c r="BN99" s="197"/>
    </row>
    <row r="100" spans="7:66" ht="16.2">
      <c r="Z100" s="196"/>
      <c r="BD100" s="197"/>
      <c r="BN100" s="197"/>
    </row>
    <row r="101" spans="7:66" ht="16.2">
      <c r="Z101" s="196"/>
      <c r="BD101" s="197"/>
      <c r="BN101" s="197"/>
    </row>
    <row r="102" spans="7:66" ht="16.2">
      <c r="Z102" s="196"/>
      <c r="BD102" s="197"/>
      <c r="BN102" s="197"/>
    </row>
    <row r="103" spans="7:66" ht="16.2">
      <c r="Z103" s="196"/>
      <c r="BD103" s="197"/>
      <c r="BN103" s="197"/>
    </row>
    <row r="104" spans="7:66" ht="16.2">
      <c r="Z104" s="196"/>
      <c r="BD104" s="197"/>
      <c r="BN104" s="197"/>
    </row>
    <row r="105" spans="7:66" ht="16.2">
      <c r="Z105" s="196"/>
      <c r="BD105" s="197"/>
      <c r="BN105" s="197"/>
    </row>
    <row r="106" spans="7:66" ht="16.2">
      <c r="Z106" s="196"/>
      <c r="BD106" s="197"/>
      <c r="BN106" s="197"/>
    </row>
    <row r="107" spans="7:66" ht="16.2">
      <c r="G107" s="142"/>
      <c r="Z107" s="196"/>
      <c r="BD107" s="197"/>
      <c r="BN107" s="197"/>
    </row>
    <row r="108" spans="7:66" ht="16.2">
      <c r="G108" s="142"/>
      <c r="Z108" s="196"/>
      <c r="BD108" s="197"/>
      <c r="BN108" s="197"/>
    </row>
    <row r="109" spans="7:66" ht="16.2">
      <c r="Z109" s="196"/>
      <c r="BD109" s="197"/>
      <c r="BN109" s="197"/>
    </row>
    <row r="110" spans="7:66" ht="16.2">
      <c r="Z110" s="196"/>
      <c r="BD110" s="197"/>
      <c r="BN110" s="197"/>
    </row>
    <row r="111" spans="7:66" ht="16.2">
      <c r="Z111" s="196"/>
      <c r="BD111" s="197"/>
      <c r="BN111" s="197"/>
    </row>
    <row r="112" spans="7:66" ht="16.2">
      <c r="Z112" s="196"/>
      <c r="BD112" s="197"/>
      <c r="BN112" s="197"/>
    </row>
    <row r="113" spans="26:66" ht="16.2">
      <c r="Z113" s="196"/>
      <c r="BD113" s="197"/>
      <c r="BN113" s="197"/>
    </row>
    <row r="114" spans="26:66" ht="16.2">
      <c r="Z114" s="196"/>
      <c r="BD114" s="197"/>
      <c r="BN114" s="197"/>
    </row>
    <row r="115" spans="26:66" ht="16.2">
      <c r="Z115" s="196"/>
      <c r="BD115" s="197"/>
      <c r="BN115" s="197"/>
    </row>
    <row r="116" spans="26:66" ht="16.2">
      <c r="Z116" s="196"/>
      <c r="BD116" s="197"/>
      <c r="BN116" s="197"/>
    </row>
    <row r="117" spans="26:66" ht="16.2">
      <c r="Z117" s="196"/>
      <c r="BD117" s="197"/>
      <c r="BN117" s="197"/>
    </row>
    <row r="118" spans="26:66" ht="16.2">
      <c r="Z118" s="196"/>
      <c r="BD118" s="197"/>
      <c r="BN118" s="197"/>
    </row>
    <row r="119" spans="26:66" ht="16.2">
      <c r="Z119" s="196"/>
      <c r="BD119" s="197"/>
      <c r="BN119" s="197"/>
    </row>
    <row r="120" spans="26:66" ht="16.2">
      <c r="Z120" s="196"/>
      <c r="BD120" s="197"/>
      <c r="BN120" s="197"/>
    </row>
    <row r="121" spans="26:66" ht="16.2">
      <c r="Z121" s="196"/>
      <c r="BD121" s="197"/>
      <c r="BN121" s="197"/>
    </row>
    <row r="122" spans="26:66" ht="16.2">
      <c r="Z122" s="196"/>
      <c r="BD122" s="197"/>
      <c r="BN122" s="197"/>
    </row>
    <row r="123" spans="26:66" ht="16.2">
      <c r="Z123" s="196"/>
      <c r="BD123" s="197"/>
      <c r="BN123" s="197"/>
    </row>
    <row r="124" spans="26:66" ht="16.2">
      <c r="Z124" s="196"/>
      <c r="BD124" s="197"/>
      <c r="BN124" s="197"/>
    </row>
    <row r="125" spans="26:66" ht="16.2">
      <c r="Z125" s="196"/>
      <c r="BD125" s="197"/>
      <c r="BN125" s="197"/>
    </row>
    <row r="126" spans="26:66" ht="16.2">
      <c r="Z126" s="196"/>
      <c r="BD126" s="197"/>
      <c r="BN126" s="197"/>
    </row>
    <row r="127" spans="26:66" ht="16.2">
      <c r="Z127" s="196"/>
      <c r="BD127" s="197"/>
      <c r="BN127" s="197"/>
    </row>
    <row r="128" spans="26:66" ht="16.2">
      <c r="Z128" s="196"/>
      <c r="BD128" s="197"/>
      <c r="BN128" s="197"/>
    </row>
    <row r="129" spans="26:66" ht="16.2">
      <c r="Z129" s="196"/>
      <c r="BD129" s="197"/>
      <c r="BN129" s="197"/>
    </row>
    <row r="130" spans="26:66" ht="16.2">
      <c r="Z130" s="196"/>
      <c r="BD130" s="197"/>
      <c r="BN130" s="197"/>
    </row>
    <row r="131" spans="26:66" ht="16.2">
      <c r="Z131" s="196"/>
      <c r="BD131" s="197"/>
      <c r="BN131" s="197"/>
    </row>
    <row r="132" spans="26:66" ht="16.2">
      <c r="Z132" s="196"/>
      <c r="BD132" s="197"/>
      <c r="BN132" s="197"/>
    </row>
    <row r="133" spans="26:66" ht="16.2">
      <c r="Z133" s="196"/>
      <c r="BD133" s="197"/>
      <c r="BN133" s="197"/>
    </row>
    <row r="134" spans="26:66" ht="16.2">
      <c r="Z134" s="196"/>
      <c r="BD134" s="197"/>
      <c r="BN134" s="197"/>
    </row>
    <row r="135" spans="26:66" ht="16.2">
      <c r="Z135" s="196"/>
      <c r="BD135" s="197"/>
      <c r="BN135" s="197"/>
    </row>
    <row r="136" spans="26:66" ht="16.2">
      <c r="Z136" s="196"/>
      <c r="BD136" s="197"/>
      <c r="BN136" s="197"/>
    </row>
    <row r="137" spans="26:66" ht="16.2">
      <c r="Z137" s="196"/>
      <c r="BD137" s="197"/>
      <c r="BN137" s="197"/>
    </row>
    <row r="138" spans="26:66" ht="16.2">
      <c r="Z138" s="196"/>
      <c r="BD138" s="197"/>
      <c r="BN138" s="197"/>
    </row>
    <row r="139" spans="26:66" ht="16.2">
      <c r="Z139" s="196"/>
      <c r="BD139" s="197"/>
      <c r="BN139" s="197"/>
    </row>
    <row r="140" spans="26:66" ht="16.2">
      <c r="Z140" s="196"/>
      <c r="BD140" s="197"/>
      <c r="BN140" s="197"/>
    </row>
    <row r="141" spans="26:66" ht="16.2">
      <c r="Z141" s="196"/>
      <c r="BD141" s="197"/>
      <c r="BN141" s="197"/>
    </row>
    <row r="142" spans="26:66" ht="16.2">
      <c r="Z142" s="196"/>
      <c r="BD142" s="197"/>
      <c r="BN142" s="197"/>
    </row>
    <row r="143" spans="26:66" ht="16.2">
      <c r="Z143" s="196"/>
      <c r="BD143" s="197"/>
      <c r="BN143" s="197"/>
    </row>
    <row r="144" spans="26:66" ht="16.2">
      <c r="Z144" s="196"/>
      <c r="BD144" s="197"/>
      <c r="BN144" s="197"/>
    </row>
    <row r="145" spans="26:66" ht="16.2">
      <c r="Z145" s="196"/>
      <c r="BD145" s="197"/>
      <c r="BN145" s="197"/>
    </row>
    <row r="146" spans="26:66" ht="16.2">
      <c r="Z146" s="196"/>
      <c r="BD146" s="197"/>
      <c r="BN146" s="197"/>
    </row>
    <row r="147" spans="26:66" ht="16.2">
      <c r="Z147" s="196"/>
      <c r="BD147" s="197"/>
      <c r="BN147" s="197"/>
    </row>
    <row r="148" spans="26:66" ht="16.2">
      <c r="Z148" s="196"/>
      <c r="BD148" s="197"/>
      <c r="BN148" s="197"/>
    </row>
    <row r="149" spans="26:66" ht="16.2">
      <c r="Z149" s="196"/>
      <c r="BD149" s="197"/>
      <c r="BN149" s="197"/>
    </row>
    <row r="150" spans="26:66" ht="16.2">
      <c r="Z150" s="196"/>
      <c r="BD150" s="197"/>
      <c r="BN150" s="197"/>
    </row>
    <row r="151" spans="26:66" ht="16.2">
      <c r="Z151" s="196"/>
      <c r="BD151" s="197"/>
      <c r="BN151" s="197"/>
    </row>
    <row r="152" spans="26:66" ht="16.2">
      <c r="Z152" s="196"/>
      <c r="BD152" s="197"/>
      <c r="BN152" s="197"/>
    </row>
    <row r="153" spans="26:66" ht="16.2">
      <c r="Z153" s="196"/>
      <c r="BD153" s="197"/>
      <c r="BN153" s="197"/>
    </row>
    <row r="154" spans="26:66" ht="16.2">
      <c r="Z154" s="196"/>
      <c r="BD154" s="197"/>
      <c r="BN154" s="197"/>
    </row>
    <row r="155" spans="26:66" ht="16.2">
      <c r="Z155" s="196"/>
      <c r="BD155" s="197"/>
      <c r="BN155" s="197"/>
    </row>
    <row r="156" spans="26:66" ht="16.2">
      <c r="Z156" s="196"/>
      <c r="BD156" s="197"/>
      <c r="BN156" s="197"/>
    </row>
    <row r="157" spans="26:66" ht="16.2">
      <c r="Z157" s="196"/>
      <c r="BD157" s="197"/>
      <c r="BN157" s="197"/>
    </row>
    <row r="158" spans="26:66" ht="16.2">
      <c r="Z158" s="196"/>
      <c r="BD158" s="197"/>
      <c r="BN158" s="197"/>
    </row>
    <row r="159" spans="26:66" ht="16.2">
      <c r="Z159" s="196"/>
      <c r="BD159" s="197"/>
      <c r="BN159" s="197"/>
    </row>
    <row r="160" spans="26:66" ht="16.2">
      <c r="Z160" s="196"/>
      <c r="BD160" s="197"/>
      <c r="BN160" s="197"/>
    </row>
    <row r="161" spans="26:66" ht="16.2">
      <c r="Z161" s="196"/>
      <c r="BD161" s="197"/>
      <c r="BN161" s="197"/>
    </row>
    <row r="162" spans="26:66" ht="16.2">
      <c r="Z162" s="196"/>
      <c r="BD162" s="197"/>
      <c r="BN162" s="197"/>
    </row>
    <row r="163" spans="26:66" ht="16.2">
      <c r="Z163" s="196"/>
      <c r="BD163" s="197"/>
      <c r="BN163" s="197"/>
    </row>
    <row r="164" spans="26:66" ht="16.2">
      <c r="Z164" s="196"/>
      <c r="BD164" s="197"/>
      <c r="BN164" s="197"/>
    </row>
    <row r="165" spans="26:66" ht="16.2">
      <c r="Z165" s="196"/>
      <c r="BD165" s="197"/>
      <c r="BN165" s="197"/>
    </row>
    <row r="166" spans="26:66" ht="16.2">
      <c r="Z166" s="196"/>
      <c r="BD166" s="197"/>
      <c r="BN166" s="197"/>
    </row>
    <row r="167" spans="26:66" ht="16.2">
      <c r="Z167" s="196"/>
      <c r="BD167" s="197"/>
      <c r="BN167" s="197"/>
    </row>
    <row r="168" spans="26:66" ht="16.2">
      <c r="Z168" s="196"/>
      <c r="BD168" s="197"/>
      <c r="BN168" s="197"/>
    </row>
    <row r="169" spans="26:66" ht="16.2">
      <c r="Z169" s="196"/>
      <c r="BD169" s="197"/>
      <c r="BN169" s="197"/>
    </row>
    <row r="170" spans="26:66" ht="16.2">
      <c r="Z170" s="196"/>
      <c r="BD170" s="197"/>
      <c r="BN170" s="197"/>
    </row>
    <row r="171" spans="26:66" ht="16.2">
      <c r="Z171" s="196"/>
      <c r="BD171" s="197"/>
      <c r="BN171" s="197"/>
    </row>
    <row r="172" spans="26:66" ht="16.2">
      <c r="Z172" s="196"/>
      <c r="BD172" s="197"/>
      <c r="BN172" s="197"/>
    </row>
    <row r="173" spans="26:66" ht="16.2">
      <c r="Z173" s="196"/>
      <c r="BD173" s="197"/>
      <c r="BN173" s="197"/>
    </row>
    <row r="174" spans="26:66" ht="16.2">
      <c r="Z174" s="196"/>
      <c r="BD174" s="197"/>
      <c r="BN174" s="197"/>
    </row>
    <row r="175" spans="26:66" ht="16.2">
      <c r="Z175" s="196"/>
      <c r="BD175" s="197"/>
      <c r="BN175" s="197"/>
    </row>
    <row r="176" spans="26:66" ht="16.2">
      <c r="Z176" s="196"/>
      <c r="BD176" s="197"/>
      <c r="BN176" s="197"/>
    </row>
    <row r="177" spans="26:66" ht="16.2">
      <c r="Z177" s="196"/>
      <c r="BD177" s="197"/>
      <c r="BN177" s="197"/>
    </row>
    <row r="178" spans="26:66" ht="16.2">
      <c r="Z178" s="196"/>
      <c r="BD178" s="197"/>
      <c r="BN178" s="197"/>
    </row>
    <row r="179" spans="26:66" ht="16.2">
      <c r="Z179" s="196"/>
      <c r="BD179" s="197"/>
      <c r="BN179" s="197"/>
    </row>
    <row r="180" spans="26:66" ht="16.2">
      <c r="Z180" s="196"/>
      <c r="BD180" s="197"/>
      <c r="BN180" s="197"/>
    </row>
    <row r="181" spans="26:66" ht="16.2">
      <c r="Z181" s="196"/>
      <c r="BD181" s="197"/>
      <c r="BN181" s="197"/>
    </row>
    <row r="182" spans="26:66" ht="16.2">
      <c r="Z182" s="196"/>
      <c r="BD182" s="197"/>
      <c r="BN182" s="197"/>
    </row>
    <row r="183" spans="26:66" ht="16.2">
      <c r="Z183" s="196"/>
      <c r="BD183" s="197"/>
      <c r="BN183" s="197"/>
    </row>
    <row r="184" spans="26:66" ht="16.2">
      <c r="Z184" s="196"/>
      <c r="BD184" s="197"/>
      <c r="BN184" s="197"/>
    </row>
    <row r="185" spans="26:66" ht="16.2">
      <c r="Z185" s="196"/>
      <c r="BD185" s="197"/>
      <c r="BN185" s="197"/>
    </row>
    <row r="186" spans="26:66" ht="16.2">
      <c r="Z186" s="196"/>
      <c r="BD186" s="197"/>
      <c r="BN186" s="197"/>
    </row>
    <row r="187" spans="26:66" ht="16.2">
      <c r="Z187" s="196"/>
      <c r="BD187" s="197"/>
      <c r="BN187" s="197"/>
    </row>
    <row r="188" spans="26:66" ht="16.2">
      <c r="Z188" s="196"/>
      <c r="BD188" s="197"/>
      <c r="BN188" s="197"/>
    </row>
    <row r="189" spans="26:66" ht="16.2">
      <c r="Z189" s="196"/>
      <c r="BD189" s="197"/>
      <c r="BN189" s="197"/>
    </row>
    <row r="190" spans="26:66" ht="16.2">
      <c r="Z190" s="196"/>
      <c r="BD190" s="197"/>
      <c r="BN190" s="197"/>
    </row>
    <row r="191" spans="26:66" ht="16.2">
      <c r="Z191" s="196"/>
      <c r="BD191" s="197"/>
      <c r="BN191" s="197"/>
    </row>
    <row r="192" spans="26:66" ht="16.2">
      <c r="Z192" s="196"/>
      <c r="BD192" s="197"/>
      <c r="BN192" s="197"/>
    </row>
    <row r="193" spans="26:66" ht="16.2">
      <c r="Z193" s="196"/>
      <c r="BD193" s="197"/>
      <c r="BN193" s="197"/>
    </row>
    <row r="194" spans="26:66" ht="16.2">
      <c r="Z194" s="196"/>
      <c r="BD194" s="197"/>
      <c r="BN194" s="197"/>
    </row>
    <row r="195" spans="26:66" ht="16.2">
      <c r="Z195" s="196"/>
      <c r="BD195" s="197"/>
      <c r="BN195" s="197"/>
    </row>
    <row r="196" spans="26:66" ht="16.2">
      <c r="Z196" s="196"/>
      <c r="BD196" s="197"/>
      <c r="BN196" s="197"/>
    </row>
    <row r="197" spans="26:66" ht="16.2">
      <c r="Z197" s="196"/>
      <c r="BD197" s="197"/>
      <c r="BN197" s="197"/>
    </row>
    <row r="198" spans="26:66" ht="16.2">
      <c r="Z198" s="196"/>
      <c r="BD198" s="197"/>
      <c r="BN198" s="197"/>
    </row>
    <row r="199" spans="26:66" ht="16.2">
      <c r="Z199" s="196"/>
      <c r="BD199" s="197"/>
      <c r="BN199" s="197"/>
    </row>
    <row r="200" spans="26:66" ht="16.2">
      <c r="Z200" s="196"/>
      <c r="BD200" s="197"/>
      <c r="BN200" s="197"/>
    </row>
    <row r="201" spans="26:66" ht="16.2">
      <c r="Z201" s="196"/>
      <c r="BD201" s="197"/>
      <c r="BN201" s="197"/>
    </row>
    <row r="202" spans="26:66" ht="16.2">
      <c r="Z202" s="196"/>
      <c r="BD202" s="197"/>
      <c r="BN202" s="197"/>
    </row>
    <row r="203" spans="26:66" ht="16.2">
      <c r="Z203" s="196"/>
      <c r="BD203" s="197"/>
      <c r="BN203" s="197"/>
    </row>
    <row r="204" spans="26:66" ht="16.2">
      <c r="Z204" s="196"/>
      <c r="BD204" s="197"/>
      <c r="BN204" s="197"/>
    </row>
    <row r="205" spans="26:66" ht="16.2">
      <c r="Z205" s="196"/>
      <c r="BD205" s="197"/>
      <c r="BN205" s="197"/>
    </row>
    <row r="206" spans="26:66" ht="16.2">
      <c r="Z206" s="196"/>
      <c r="BD206" s="197"/>
      <c r="BN206" s="197"/>
    </row>
    <row r="207" spans="26:66" ht="16.2">
      <c r="Z207" s="196"/>
      <c r="BD207" s="197"/>
      <c r="BN207" s="197"/>
    </row>
    <row r="208" spans="26:66" ht="16.2">
      <c r="Z208" s="196"/>
      <c r="BD208" s="197"/>
      <c r="BN208" s="197"/>
    </row>
    <row r="209" spans="26:66" ht="16.2">
      <c r="Z209" s="196"/>
      <c r="BD209" s="197"/>
      <c r="BN209" s="197"/>
    </row>
    <row r="210" spans="26:66" ht="16.2">
      <c r="Z210" s="196"/>
      <c r="BD210" s="197"/>
      <c r="BN210" s="197"/>
    </row>
    <row r="211" spans="26:66" ht="16.2">
      <c r="Z211" s="196"/>
      <c r="BD211" s="197"/>
      <c r="BN211" s="197"/>
    </row>
    <row r="212" spans="26:66" ht="16.2">
      <c r="Z212" s="196"/>
      <c r="BD212" s="197"/>
      <c r="BN212" s="197"/>
    </row>
    <row r="213" spans="26:66" ht="16.2">
      <c r="Z213" s="196"/>
      <c r="BD213" s="197"/>
      <c r="BN213" s="197"/>
    </row>
    <row r="214" spans="26:66" ht="16.2">
      <c r="Z214" s="196"/>
      <c r="BD214" s="197"/>
      <c r="BN214" s="197"/>
    </row>
    <row r="215" spans="26:66" ht="16.2">
      <c r="Z215" s="196"/>
      <c r="BD215" s="197"/>
      <c r="BN215" s="197"/>
    </row>
    <row r="216" spans="26:66" ht="16.2">
      <c r="Z216" s="196"/>
      <c r="BD216" s="197"/>
      <c r="BN216" s="197"/>
    </row>
    <row r="217" spans="26:66" ht="16.2">
      <c r="Z217" s="196"/>
      <c r="BD217" s="197"/>
      <c r="BN217" s="197"/>
    </row>
    <row r="218" spans="26:66" ht="16.2">
      <c r="Z218" s="196"/>
      <c r="BD218" s="197"/>
      <c r="BN218" s="197"/>
    </row>
    <row r="219" spans="26:66" ht="16.2">
      <c r="Z219" s="196"/>
      <c r="BD219" s="197"/>
      <c r="BN219" s="197"/>
    </row>
    <row r="220" spans="26:66" ht="16.2">
      <c r="Z220" s="196"/>
      <c r="BD220" s="197"/>
      <c r="BN220" s="197"/>
    </row>
    <row r="221" spans="26:66" ht="16.2">
      <c r="Z221" s="196"/>
      <c r="BD221" s="197"/>
      <c r="BN221" s="197"/>
    </row>
    <row r="222" spans="26:66" ht="16.2">
      <c r="Z222" s="196"/>
      <c r="BD222" s="197"/>
      <c r="BN222" s="197"/>
    </row>
    <row r="223" spans="26:66" ht="16.2">
      <c r="Z223" s="196"/>
      <c r="BD223" s="197"/>
      <c r="BN223" s="197"/>
    </row>
    <row r="224" spans="26:66" ht="16.2">
      <c r="Z224" s="196"/>
      <c r="BD224" s="197"/>
      <c r="BN224" s="197"/>
    </row>
    <row r="225" spans="26:66" ht="16.2">
      <c r="Z225" s="196"/>
      <c r="BD225" s="197"/>
      <c r="BN225" s="197"/>
    </row>
    <row r="226" spans="26:66" ht="16.2">
      <c r="Z226" s="196"/>
      <c r="BD226" s="197"/>
      <c r="BN226" s="197"/>
    </row>
    <row r="227" spans="26:66" ht="16.2">
      <c r="Z227" s="196"/>
      <c r="BD227" s="197"/>
      <c r="BN227" s="197"/>
    </row>
    <row r="228" spans="26:66" ht="16.2">
      <c r="Z228" s="196"/>
      <c r="BD228" s="197"/>
      <c r="BN228" s="197"/>
    </row>
    <row r="229" spans="26:66" ht="16.2">
      <c r="Z229" s="196"/>
      <c r="BD229" s="197"/>
      <c r="BN229" s="197"/>
    </row>
    <row r="230" spans="26:66" ht="16.2">
      <c r="Z230" s="196"/>
      <c r="BD230" s="197"/>
      <c r="BN230" s="197"/>
    </row>
    <row r="231" spans="26:66" ht="16.2">
      <c r="Z231" s="196"/>
      <c r="BD231" s="197"/>
      <c r="BN231" s="197"/>
    </row>
    <row r="232" spans="26:66" ht="16.2">
      <c r="Z232" s="196"/>
      <c r="BD232" s="197"/>
      <c r="BN232" s="197"/>
    </row>
    <row r="233" spans="26:66" ht="16.2">
      <c r="Z233" s="196"/>
      <c r="BD233" s="197"/>
      <c r="BN233" s="197"/>
    </row>
    <row r="234" spans="26:66" ht="16.2">
      <c r="Z234" s="196"/>
      <c r="BD234" s="197"/>
      <c r="BN234" s="197"/>
    </row>
    <row r="235" spans="26:66" ht="16.2">
      <c r="Z235" s="196"/>
      <c r="BD235" s="197"/>
      <c r="BN235" s="197"/>
    </row>
    <row r="236" spans="26:66" ht="16.2">
      <c r="Z236" s="196"/>
      <c r="BD236" s="197"/>
      <c r="BN236" s="197"/>
    </row>
    <row r="237" spans="26:66" ht="16.2">
      <c r="Z237" s="196"/>
      <c r="BD237" s="197"/>
      <c r="BN237" s="197"/>
    </row>
    <row r="238" spans="26:66" ht="16.2">
      <c r="Z238" s="196"/>
      <c r="BD238" s="197"/>
      <c r="BN238" s="197"/>
    </row>
    <row r="239" spans="26:66" ht="16.2">
      <c r="Z239" s="196"/>
      <c r="BD239" s="197"/>
      <c r="BN239" s="197"/>
    </row>
    <row r="240" spans="26:66" ht="16.2">
      <c r="Z240" s="196"/>
      <c r="BD240" s="197"/>
      <c r="BN240" s="197"/>
    </row>
    <row r="241" spans="26:66" ht="16.2">
      <c r="Z241" s="196"/>
      <c r="BD241" s="197"/>
      <c r="BN241" s="197"/>
    </row>
    <row r="242" spans="26:66" ht="16.2">
      <c r="Z242" s="196"/>
      <c r="BD242" s="197"/>
      <c r="BN242" s="197"/>
    </row>
    <row r="243" spans="26:66" ht="16.2">
      <c r="Z243" s="196"/>
      <c r="BD243" s="197"/>
      <c r="BN243" s="197"/>
    </row>
    <row r="244" spans="26:66" ht="16.2">
      <c r="Z244" s="196"/>
      <c r="BD244" s="197"/>
      <c r="BN244" s="197"/>
    </row>
    <row r="245" spans="26:66" ht="16.2">
      <c r="Z245" s="196"/>
      <c r="BD245" s="197"/>
      <c r="BN245" s="197"/>
    </row>
    <row r="246" spans="26:66" ht="16.2">
      <c r="Z246" s="196"/>
      <c r="BD246" s="197"/>
      <c r="BN246" s="197"/>
    </row>
    <row r="247" spans="26:66" ht="16.2">
      <c r="Z247" s="196"/>
      <c r="BD247" s="197"/>
      <c r="BN247" s="197"/>
    </row>
    <row r="248" spans="26:66" ht="16.2">
      <c r="Z248" s="196"/>
      <c r="BD248" s="197"/>
      <c r="BN248" s="197"/>
    </row>
    <row r="249" spans="26:66" ht="16.2">
      <c r="Z249" s="196"/>
      <c r="BD249" s="197"/>
      <c r="BN249" s="197"/>
    </row>
    <row r="250" spans="26:66" ht="16.2">
      <c r="Z250" s="196"/>
      <c r="BD250" s="197"/>
      <c r="BN250" s="197"/>
    </row>
    <row r="251" spans="26:66" ht="16.2">
      <c r="Z251" s="196"/>
      <c r="BD251" s="197"/>
      <c r="BN251" s="197"/>
    </row>
    <row r="252" spans="26:66" ht="16.2">
      <c r="Z252" s="196"/>
      <c r="BD252" s="197"/>
      <c r="BN252" s="197"/>
    </row>
    <row r="253" spans="26:66" ht="16.2">
      <c r="Z253" s="196"/>
      <c r="BD253" s="197"/>
      <c r="BN253" s="197"/>
    </row>
    <row r="254" spans="26:66" ht="16.2">
      <c r="Z254" s="196"/>
      <c r="BD254" s="197"/>
      <c r="BN254" s="197"/>
    </row>
    <row r="255" spans="26:66" ht="16.2">
      <c r="Z255" s="196"/>
      <c r="BD255" s="197"/>
      <c r="BN255" s="197"/>
    </row>
    <row r="256" spans="26:66" ht="16.2">
      <c r="Z256" s="196"/>
      <c r="BD256" s="197"/>
      <c r="BN256" s="197"/>
    </row>
    <row r="257" spans="26:66" ht="16.2">
      <c r="Z257" s="196"/>
      <c r="BD257" s="197"/>
      <c r="BN257" s="197"/>
    </row>
    <row r="258" spans="26:66" ht="16.2">
      <c r="Z258" s="196"/>
      <c r="BD258" s="197"/>
      <c r="BN258" s="197"/>
    </row>
    <row r="259" spans="26:66" ht="16.2">
      <c r="Z259" s="196"/>
      <c r="BD259" s="197"/>
      <c r="BN259" s="197"/>
    </row>
    <row r="260" spans="26:66" ht="16.2">
      <c r="Z260" s="196"/>
      <c r="BD260" s="197"/>
      <c r="BN260" s="197"/>
    </row>
    <row r="261" spans="26:66" ht="16.2">
      <c r="Z261" s="196"/>
      <c r="BD261" s="197"/>
      <c r="BN261" s="197"/>
    </row>
    <row r="262" spans="26:66" ht="16.2">
      <c r="Z262" s="196"/>
      <c r="BD262" s="197"/>
      <c r="BN262" s="197"/>
    </row>
    <row r="263" spans="26:66" ht="16.2">
      <c r="Z263" s="196"/>
      <c r="BD263" s="197"/>
      <c r="BN263" s="197"/>
    </row>
    <row r="264" spans="26:66" ht="16.2">
      <c r="Z264" s="196"/>
      <c r="BD264" s="197"/>
      <c r="BN264" s="197"/>
    </row>
    <row r="265" spans="26:66" ht="16.2">
      <c r="Z265" s="196"/>
      <c r="BD265" s="197"/>
      <c r="BN265" s="197"/>
    </row>
    <row r="266" spans="26:66" ht="16.2">
      <c r="Z266" s="196"/>
      <c r="BD266" s="197"/>
      <c r="BN266" s="197"/>
    </row>
    <row r="267" spans="26:66" ht="16.2">
      <c r="Z267" s="196"/>
      <c r="BD267" s="197"/>
      <c r="BN267" s="197"/>
    </row>
    <row r="268" spans="26:66" ht="16.2">
      <c r="Z268" s="196"/>
      <c r="BD268" s="197"/>
      <c r="BN268" s="197"/>
    </row>
    <row r="269" spans="26:66" ht="16.2">
      <c r="Z269" s="196"/>
      <c r="BD269" s="197"/>
      <c r="BN269" s="197"/>
    </row>
    <row r="270" spans="26:66" ht="16.2">
      <c r="Z270" s="196"/>
      <c r="BD270" s="197"/>
      <c r="BN270" s="197"/>
    </row>
    <row r="271" spans="26:66" ht="16.2">
      <c r="Z271" s="196"/>
      <c r="BD271" s="197"/>
      <c r="BN271" s="197"/>
    </row>
    <row r="272" spans="26:66" ht="16.2">
      <c r="Z272" s="196"/>
      <c r="BD272" s="197"/>
      <c r="BN272" s="197"/>
    </row>
    <row r="273" spans="26:66" ht="16.2">
      <c r="Z273" s="196"/>
      <c r="BD273" s="197"/>
      <c r="BN273" s="197"/>
    </row>
    <row r="274" spans="26:66" ht="16.2">
      <c r="Z274" s="196"/>
      <c r="BD274" s="197"/>
      <c r="BN274" s="197"/>
    </row>
    <row r="275" spans="26:66" ht="16.2">
      <c r="Z275" s="196"/>
      <c r="BD275" s="197"/>
      <c r="BN275" s="197"/>
    </row>
    <row r="276" spans="26:66" ht="16.2">
      <c r="Z276" s="196"/>
      <c r="BD276" s="197"/>
      <c r="BN276" s="197"/>
    </row>
    <row r="277" spans="26:66" ht="16.2">
      <c r="Z277" s="196"/>
      <c r="BD277" s="197"/>
      <c r="BN277" s="197"/>
    </row>
    <row r="278" spans="26:66" ht="16.2">
      <c r="Z278" s="196"/>
      <c r="BD278" s="197"/>
      <c r="BN278" s="197"/>
    </row>
    <row r="279" spans="26:66" ht="16.2">
      <c r="Z279" s="196"/>
      <c r="BD279" s="197"/>
      <c r="BN279" s="197"/>
    </row>
    <row r="280" spans="26:66" ht="16.2">
      <c r="Z280" s="196"/>
      <c r="BD280" s="197"/>
      <c r="BN280" s="197"/>
    </row>
    <row r="281" spans="26:66" ht="16.2">
      <c r="Z281" s="196"/>
      <c r="BD281" s="197"/>
      <c r="BN281" s="197"/>
    </row>
    <row r="282" spans="26:66" ht="16.2">
      <c r="Z282" s="196"/>
      <c r="BD282" s="197"/>
      <c r="BN282" s="197"/>
    </row>
    <row r="283" spans="26:66" ht="16.2">
      <c r="Z283" s="196"/>
      <c r="BD283" s="197"/>
      <c r="BN283" s="197"/>
    </row>
    <row r="284" spans="26:66" ht="16.2">
      <c r="Z284" s="196"/>
      <c r="BD284" s="197"/>
      <c r="BN284" s="197"/>
    </row>
    <row r="285" spans="26:66" ht="16.2">
      <c r="Z285" s="196"/>
      <c r="BD285" s="197"/>
      <c r="BN285" s="197"/>
    </row>
    <row r="286" spans="26:66" ht="16.2">
      <c r="Z286" s="196"/>
      <c r="BD286" s="197"/>
      <c r="BN286" s="197"/>
    </row>
    <row r="287" spans="26:66" ht="16.2">
      <c r="Z287" s="196"/>
      <c r="BD287" s="197"/>
      <c r="BN287" s="197"/>
    </row>
    <row r="288" spans="26:66" ht="16.2">
      <c r="Z288" s="196"/>
      <c r="BD288" s="197"/>
      <c r="BN288" s="197"/>
    </row>
    <row r="289" spans="26:66" ht="16.2">
      <c r="Z289" s="196"/>
      <c r="BD289" s="197"/>
      <c r="BN289" s="197"/>
    </row>
    <row r="290" spans="26:66" ht="16.2">
      <c r="Z290" s="196"/>
      <c r="BD290" s="197"/>
      <c r="BN290" s="197"/>
    </row>
    <row r="291" spans="26:66" ht="16.2">
      <c r="Z291" s="196"/>
      <c r="BD291" s="197"/>
      <c r="BN291" s="197"/>
    </row>
    <row r="292" spans="26:66" ht="16.2">
      <c r="Z292" s="196"/>
      <c r="BD292" s="197"/>
      <c r="BN292" s="197"/>
    </row>
    <row r="293" spans="26:66" ht="16.2">
      <c r="Z293" s="196"/>
      <c r="BD293" s="197"/>
      <c r="BN293" s="197"/>
    </row>
    <row r="294" spans="26:66" ht="16.2">
      <c r="Z294" s="196"/>
      <c r="BD294" s="197"/>
      <c r="BN294" s="197"/>
    </row>
    <row r="295" spans="26:66" ht="16.2">
      <c r="Z295" s="196"/>
      <c r="BD295" s="197"/>
      <c r="BN295" s="197"/>
    </row>
    <row r="296" spans="26:66" ht="16.2">
      <c r="Z296" s="196"/>
      <c r="BD296" s="197"/>
      <c r="BN296" s="197"/>
    </row>
    <row r="297" spans="26:66" ht="16.2">
      <c r="Z297" s="196"/>
      <c r="BD297" s="197"/>
      <c r="BN297" s="197"/>
    </row>
    <row r="298" spans="26:66" ht="16.2">
      <c r="Z298" s="196"/>
      <c r="BD298" s="197"/>
      <c r="BN298" s="197"/>
    </row>
    <row r="299" spans="26:66" ht="16.2">
      <c r="Z299" s="196"/>
      <c r="BD299" s="197"/>
      <c r="BN299" s="197"/>
    </row>
    <row r="300" spans="26:66" ht="16.2">
      <c r="Z300" s="196"/>
      <c r="BD300" s="197"/>
      <c r="BN300" s="197"/>
    </row>
    <row r="301" spans="26:66" ht="16.2">
      <c r="Z301" s="196"/>
      <c r="BD301" s="197"/>
      <c r="BN301" s="197"/>
    </row>
    <row r="302" spans="26:66" ht="16.2">
      <c r="Z302" s="196"/>
      <c r="BD302" s="197"/>
      <c r="BN302" s="197"/>
    </row>
    <row r="303" spans="26:66" ht="16.2">
      <c r="Z303" s="196"/>
      <c r="BD303" s="197"/>
      <c r="BN303" s="197"/>
    </row>
    <row r="304" spans="26:66" ht="16.2">
      <c r="Z304" s="196"/>
      <c r="BD304" s="197"/>
      <c r="BN304" s="197"/>
    </row>
    <row r="305" spans="26:66" ht="16.2">
      <c r="Z305" s="196"/>
      <c r="BD305" s="197"/>
      <c r="BN305" s="197"/>
    </row>
    <row r="306" spans="26:66" ht="16.2">
      <c r="Z306" s="196"/>
      <c r="BD306" s="197"/>
      <c r="BN306" s="197"/>
    </row>
    <row r="307" spans="26:66" ht="16.2">
      <c r="Z307" s="196"/>
      <c r="BD307" s="197"/>
      <c r="BN307" s="197"/>
    </row>
    <row r="308" spans="26:66" ht="16.2">
      <c r="Z308" s="196"/>
      <c r="BD308" s="197"/>
      <c r="BN308" s="197"/>
    </row>
    <row r="309" spans="26:66" ht="16.2">
      <c r="Z309" s="196"/>
      <c r="BD309" s="197"/>
      <c r="BN309" s="197"/>
    </row>
    <row r="310" spans="26:66" ht="16.2">
      <c r="Z310" s="196"/>
      <c r="BD310" s="197"/>
      <c r="BN310" s="197"/>
    </row>
    <row r="311" spans="26:66" ht="16.2">
      <c r="Z311" s="196"/>
      <c r="BD311" s="197"/>
      <c r="BN311" s="197"/>
    </row>
    <row r="312" spans="26:66" ht="16.2">
      <c r="Z312" s="196"/>
      <c r="BD312" s="197"/>
      <c r="BN312" s="197"/>
    </row>
    <row r="313" spans="26:66" ht="16.2">
      <c r="Z313" s="196"/>
      <c r="BD313" s="197"/>
      <c r="BN313" s="197"/>
    </row>
    <row r="314" spans="26:66" ht="16.2">
      <c r="Z314" s="196"/>
      <c r="BD314" s="197"/>
      <c r="BN314" s="197"/>
    </row>
    <row r="315" spans="26:66" ht="16.2">
      <c r="Z315" s="196"/>
      <c r="BD315" s="197"/>
      <c r="BN315" s="197"/>
    </row>
    <row r="316" spans="26:66" ht="16.2">
      <c r="Z316" s="196"/>
      <c r="BD316" s="197"/>
      <c r="BN316" s="197"/>
    </row>
    <row r="317" spans="26:66" ht="16.2">
      <c r="Z317" s="196"/>
      <c r="BD317" s="197"/>
      <c r="BN317" s="197"/>
    </row>
    <row r="318" spans="26:66" ht="16.2">
      <c r="Z318" s="196"/>
      <c r="BD318" s="197"/>
      <c r="BN318" s="197"/>
    </row>
    <row r="319" spans="26:66" ht="16.2">
      <c r="Z319" s="196"/>
      <c r="BD319" s="197"/>
      <c r="BN319" s="197"/>
    </row>
    <row r="320" spans="26:66" ht="16.2">
      <c r="Z320" s="196"/>
      <c r="BD320" s="197"/>
      <c r="BN320" s="197"/>
    </row>
    <row r="321" spans="26:66" ht="16.2">
      <c r="Z321" s="196"/>
      <c r="BD321" s="197"/>
      <c r="BN321" s="197"/>
    </row>
    <row r="322" spans="26:66" ht="16.2">
      <c r="Z322" s="196"/>
      <c r="BD322" s="197"/>
      <c r="BN322" s="197"/>
    </row>
    <row r="323" spans="26:66" ht="16.2">
      <c r="Z323" s="196"/>
      <c r="BD323" s="197"/>
      <c r="BN323" s="197"/>
    </row>
    <row r="324" spans="26:66" ht="16.2">
      <c r="Z324" s="196"/>
      <c r="BD324" s="197"/>
      <c r="BN324" s="197"/>
    </row>
    <row r="325" spans="26:66" ht="16.2">
      <c r="Z325" s="196"/>
      <c r="BD325" s="197"/>
      <c r="BN325" s="197"/>
    </row>
    <row r="326" spans="26:66" ht="16.2">
      <c r="Z326" s="196"/>
      <c r="BD326" s="197"/>
      <c r="BN326" s="197"/>
    </row>
    <row r="327" spans="26:66" ht="16.2">
      <c r="Z327" s="196"/>
      <c r="BD327" s="197"/>
      <c r="BN327" s="197"/>
    </row>
    <row r="328" spans="26:66" ht="16.2">
      <c r="Z328" s="196"/>
      <c r="BD328" s="197"/>
      <c r="BN328" s="197"/>
    </row>
    <row r="329" spans="26:66" ht="16.2">
      <c r="Z329" s="196"/>
      <c r="BD329" s="197"/>
      <c r="BN329" s="197"/>
    </row>
    <row r="330" spans="26:66" ht="16.2">
      <c r="Z330" s="196"/>
      <c r="BD330" s="197"/>
      <c r="BN330" s="197"/>
    </row>
    <row r="331" spans="26:66" ht="16.2">
      <c r="Z331" s="196"/>
      <c r="BD331" s="197"/>
      <c r="BN331" s="197"/>
    </row>
    <row r="332" spans="26:66" ht="16.2">
      <c r="Z332" s="196"/>
      <c r="BD332" s="197"/>
      <c r="BN332" s="197"/>
    </row>
    <row r="333" spans="26:66" ht="16.2">
      <c r="Z333" s="196"/>
      <c r="BD333" s="197"/>
      <c r="BN333" s="197"/>
    </row>
    <row r="334" spans="26:66" ht="16.2">
      <c r="Z334" s="196"/>
      <c r="BD334" s="197"/>
      <c r="BN334" s="197"/>
    </row>
    <row r="335" spans="26:66" ht="16.2">
      <c r="Z335" s="196"/>
      <c r="BD335" s="197"/>
      <c r="BN335" s="197"/>
    </row>
    <row r="336" spans="26:66" ht="16.2">
      <c r="Z336" s="196"/>
      <c r="BD336" s="197"/>
      <c r="BN336" s="197"/>
    </row>
    <row r="337" spans="26:66" ht="16.2">
      <c r="Z337" s="196"/>
      <c r="BD337" s="197"/>
      <c r="BN337" s="197"/>
    </row>
    <row r="338" spans="26:66" ht="16.2">
      <c r="Z338" s="196"/>
      <c r="BD338" s="197"/>
      <c r="BN338" s="197"/>
    </row>
    <row r="339" spans="26:66" ht="16.2">
      <c r="Z339" s="196"/>
      <c r="BD339" s="197"/>
      <c r="BN339" s="197"/>
    </row>
    <row r="340" spans="26:66" ht="16.2">
      <c r="Z340" s="196"/>
      <c r="BD340" s="197"/>
      <c r="BN340" s="197"/>
    </row>
    <row r="341" spans="26:66" ht="16.2">
      <c r="Z341" s="196"/>
      <c r="BD341" s="197"/>
      <c r="BN341" s="197"/>
    </row>
    <row r="342" spans="26:66" ht="16.2">
      <c r="Z342" s="196"/>
      <c r="BD342" s="197"/>
      <c r="BN342" s="197"/>
    </row>
    <row r="343" spans="26:66" ht="16.2">
      <c r="Z343" s="196"/>
      <c r="BD343" s="197"/>
      <c r="BN343" s="197"/>
    </row>
    <row r="344" spans="26:66" ht="16.2">
      <c r="Z344" s="196"/>
      <c r="BD344" s="197"/>
      <c r="BN344" s="197"/>
    </row>
    <row r="345" spans="26:66" ht="16.2">
      <c r="Z345" s="196"/>
      <c r="BD345" s="197"/>
      <c r="BN345" s="197"/>
    </row>
    <row r="346" spans="26:66" ht="16.2">
      <c r="Z346" s="196"/>
      <c r="BD346" s="197"/>
      <c r="BN346" s="197"/>
    </row>
    <row r="347" spans="26:66" ht="16.2">
      <c r="Z347" s="196"/>
      <c r="BD347" s="197"/>
      <c r="BN347" s="197"/>
    </row>
    <row r="348" spans="26:66" ht="16.2">
      <c r="Z348" s="196"/>
      <c r="BD348" s="197"/>
      <c r="BN348" s="197"/>
    </row>
    <row r="349" spans="26:66" ht="16.2">
      <c r="Z349" s="196"/>
      <c r="BD349" s="197"/>
      <c r="BN349" s="197"/>
    </row>
    <row r="350" spans="26:66" ht="16.2">
      <c r="Z350" s="196"/>
      <c r="BD350" s="197"/>
      <c r="BN350" s="197"/>
    </row>
    <row r="351" spans="26:66" ht="16.2">
      <c r="Z351" s="196"/>
      <c r="BD351" s="197"/>
      <c r="BN351" s="197"/>
    </row>
    <row r="352" spans="26:66" ht="16.2">
      <c r="Z352" s="196"/>
      <c r="BD352" s="197"/>
      <c r="BN352" s="197"/>
    </row>
    <row r="353" spans="26:66" ht="16.2">
      <c r="Z353" s="196"/>
      <c r="BD353" s="197"/>
      <c r="BN353" s="197"/>
    </row>
    <row r="354" spans="26:66" ht="16.2">
      <c r="Z354" s="196"/>
      <c r="BD354" s="197"/>
      <c r="BN354" s="197"/>
    </row>
    <row r="355" spans="26:66" ht="16.2">
      <c r="Z355" s="196"/>
      <c r="BD355" s="197"/>
      <c r="BN355" s="197"/>
    </row>
    <row r="356" spans="26:66" ht="16.2">
      <c r="Z356" s="196"/>
      <c r="BD356" s="197"/>
      <c r="BN356" s="197"/>
    </row>
    <row r="357" spans="26:66" ht="16.2">
      <c r="Z357" s="196"/>
      <c r="BD357" s="197"/>
      <c r="BN357" s="197"/>
    </row>
    <row r="358" spans="26:66" ht="16.2">
      <c r="Z358" s="196"/>
      <c r="BD358" s="197"/>
      <c r="BN358" s="197"/>
    </row>
    <row r="359" spans="26:66" ht="16.2">
      <c r="Z359" s="196"/>
      <c r="BD359" s="197"/>
      <c r="BN359" s="197"/>
    </row>
    <row r="360" spans="26:66" ht="16.2">
      <c r="Z360" s="196"/>
      <c r="BD360" s="197"/>
      <c r="BN360" s="197"/>
    </row>
    <row r="361" spans="26:66" ht="16.2">
      <c r="Z361" s="196"/>
      <c r="BD361" s="197"/>
      <c r="BN361" s="197"/>
    </row>
    <row r="362" spans="26:66" ht="16.2">
      <c r="Z362" s="196"/>
      <c r="BD362" s="197"/>
      <c r="BN362" s="197"/>
    </row>
    <row r="363" spans="26:66" ht="16.2">
      <c r="Z363" s="196"/>
      <c r="BD363" s="197"/>
      <c r="BN363" s="197"/>
    </row>
    <row r="364" spans="26:66" ht="16.2">
      <c r="Z364" s="196"/>
      <c r="BD364" s="197"/>
      <c r="BN364" s="197"/>
    </row>
    <row r="365" spans="26:66" ht="16.2">
      <c r="Z365" s="196"/>
      <c r="BD365" s="197"/>
      <c r="BN365" s="197"/>
    </row>
    <row r="366" spans="26:66" ht="16.2">
      <c r="Z366" s="196"/>
      <c r="BD366" s="197"/>
      <c r="BN366" s="197"/>
    </row>
    <row r="367" spans="26:66" ht="16.2">
      <c r="Z367" s="196"/>
      <c r="BD367" s="197"/>
      <c r="BN367" s="197"/>
    </row>
    <row r="368" spans="26:66" ht="16.2">
      <c r="Z368" s="196"/>
      <c r="BD368" s="197"/>
      <c r="BN368" s="197"/>
    </row>
    <row r="369" spans="26:66" ht="16.2">
      <c r="Z369" s="196"/>
      <c r="BD369" s="197"/>
      <c r="BN369" s="197"/>
    </row>
    <row r="370" spans="26:66" ht="16.2">
      <c r="Z370" s="196"/>
      <c r="BD370" s="197"/>
      <c r="BN370" s="197"/>
    </row>
    <row r="371" spans="26:66" ht="16.2">
      <c r="Z371" s="196"/>
      <c r="BD371" s="197"/>
      <c r="BN371" s="197"/>
    </row>
    <row r="372" spans="26:66" ht="16.2">
      <c r="Z372" s="196"/>
      <c r="BD372" s="197"/>
      <c r="BN372" s="197"/>
    </row>
    <row r="373" spans="26:66" ht="16.2">
      <c r="Z373" s="196"/>
      <c r="BD373" s="197"/>
      <c r="BN373" s="197"/>
    </row>
    <row r="374" spans="26:66" ht="16.2">
      <c r="Z374" s="196"/>
      <c r="BD374" s="197"/>
      <c r="BN374" s="197"/>
    </row>
    <row r="375" spans="26:66" ht="16.2">
      <c r="Z375" s="196"/>
      <c r="BD375" s="197"/>
      <c r="BN375" s="197"/>
    </row>
    <row r="376" spans="26:66" ht="16.2">
      <c r="Z376" s="196"/>
      <c r="BD376" s="197"/>
      <c r="BN376" s="197"/>
    </row>
    <row r="377" spans="26:66" ht="16.2">
      <c r="Z377" s="196"/>
      <c r="BD377" s="197"/>
      <c r="BN377" s="197"/>
    </row>
    <row r="378" spans="26:66" ht="16.2">
      <c r="Z378" s="196"/>
      <c r="BD378" s="197"/>
      <c r="BN378" s="197"/>
    </row>
    <row r="379" spans="26:66" ht="16.2">
      <c r="Z379" s="196"/>
      <c r="BD379" s="197"/>
      <c r="BN379" s="197"/>
    </row>
    <row r="380" spans="26:66" ht="16.2">
      <c r="Z380" s="196"/>
      <c r="BD380" s="197"/>
      <c r="BN380" s="197"/>
    </row>
    <row r="381" spans="26:66" ht="16.2">
      <c r="Z381" s="196"/>
      <c r="BD381" s="197"/>
      <c r="BN381" s="197"/>
    </row>
    <row r="382" spans="26:66" ht="16.2">
      <c r="Z382" s="196"/>
      <c r="BD382" s="197"/>
      <c r="BN382" s="197"/>
    </row>
    <row r="383" spans="26:66" ht="16.2">
      <c r="Z383" s="196"/>
      <c r="BD383" s="197"/>
      <c r="BN383" s="197"/>
    </row>
    <row r="384" spans="26:66" ht="16.2">
      <c r="Z384" s="196"/>
      <c r="BD384" s="197"/>
      <c r="BN384" s="197"/>
    </row>
    <row r="385" spans="26:66" ht="16.2">
      <c r="Z385" s="196"/>
      <c r="BD385" s="197"/>
      <c r="BN385" s="197"/>
    </row>
    <row r="386" spans="26:66" ht="16.2">
      <c r="Z386" s="196"/>
      <c r="BD386" s="197"/>
      <c r="BN386" s="197"/>
    </row>
    <row r="387" spans="26:66" ht="16.2">
      <c r="Z387" s="196"/>
      <c r="BD387" s="197"/>
      <c r="BN387" s="197"/>
    </row>
    <row r="388" spans="26:66" ht="16.2">
      <c r="Z388" s="196"/>
      <c r="BD388" s="197"/>
      <c r="BN388" s="197"/>
    </row>
    <row r="389" spans="26:66" ht="16.2">
      <c r="Z389" s="196"/>
      <c r="BD389" s="197"/>
      <c r="BN389" s="197"/>
    </row>
    <row r="390" spans="26:66" ht="16.2">
      <c r="Z390" s="196"/>
      <c r="BD390" s="197"/>
      <c r="BN390" s="197"/>
    </row>
    <row r="391" spans="26:66" ht="16.2">
      <c r="Z391" s="196"/>
      <c r="BD391" s="197"/>
      <c r="BN391" s="197"/>
    </row>
    <row r="392" spans="26:66" ht="16.2">
      <c r="Z392" s="196"/>
      <c r="BD392" s="197"/>
      <c r="BN392" s="197"/>
    </row>
    <row r="393" spans="26:66" ht="16.2">
      <c r="Z393" s="196"/>
      <c r="BD393" s="197"/>
      <c r="BN393" s="197"/>
    </row>
    <row r="394" spans="26:66" ht="16.2">
      <c r="Z394" s="196"/>
      <c r="BD394" s="197"/>
      <c r="BN394" s="197"/>
    </row>
    <row r="395" spans="26:66" ht="16.2">
      <c r="Z395" s="196"/>
      <c r="BD395" s="197"/>
      <c r="BN395" s="197"/>
    </row>
    <row r="396" spans="26:66" ht="16.2">
      <c r="Z396" s="196"/>
      <c r="BD396" s="197"/>
      <c r="BN396" s="197"/>
    </row>
    <row r="397" spans="26:66" ht="16.2">
      <c r="Z397" s="196"/>
      <c r="BD397" s="197"/>
      <c r="BN397" s="197"/>
    </row>
    <row r="398" spans="26:66" ht="16.2">
      <c r="Z398" s="196"/>
      <c r="BD398" s="197"/>
      <c r="BN398" s="197"/>
    </row>
    <row r="399" spans="26:66" ht="16.2">
      <c r="Z399" s="196"/>
      <c r="BD399" s="197"/>
      <c r="BN399" s="197"/>
    </row>
    <row r="400" spans="26:66" ht="16.2">
      <c r="Z400" s="196"/>
      <c r="BD400" s="197"/>
      <c r="BN400" s="197"/>
    </row>
    <row r="401" spans="26:66" ht="16.2">
      <c r="Z401" s="196"/>
      <c r="BD401" s="197"/>
      <c r="BN401" s="197"/>
    </row>
    <row r="402" spans="26:66" ht="16.2">
      <c r="Z402" s="196"/>
      <c r="BD402" s="197"/>
      <c r="BN402" s="197"/>
    </row>
    <row r="403" spans="26:66" ht="16.2">
      <c r="Z403" s="196"/>
      <c r="BD403" s="197"/>
      <c r="BN403" s="197"/>
    </row>
    <row r="404" spans="26:66" ht="16.2">
      <c r="Z404" s="196"/>
      <c r="BD404" s="197"/>
      <c r="BN404" s="197"/>
    </row>
    <row r="405" spans="26:66" ht="16.2">
      <c r="Z405" s="196"/>
      <c r="BD405" s="197"/>
      <c r="BN405" s="197"/>
    </row>
    <row r="406" spans="26:66" ht="16.2">
      <c r="Z406" s="196"/>
      <c r="BD406" s="197"/>
      <c r="BN406" s="197"/>
    </row>
    <row r="407" spans="26:66" ht="16.2">
      <c r="Z407" s="196"/>
      <c r="BD407" s="197"/>
      <c r="BN407" s="197"/>
    </row>
    <row r="408" spans="26:66" ht="16.2">
      <c r="Z408" s="196"/>
      <c r="BD408" s="197"/>
      <c r="BN408" s="197"/>
    </row>
    <row r="409" spans="26:66" ht="16.2">
      <c r="Z409" s="196"/>
      <c r="BD409" s="197"/>
      <c r="BN409" s="197"/>
    </row>
    <row r="410" spans="26:66" ht="16.2">
      <c r="Z410" s="196"/>
      <c r="BD410" s="197"/>
      <c r="BN410" s="197"/>
    </row>
    <row r="411" spans="26:66" ht="16.2">
      <c r="Z411" s="196"/>
      <c r="BD411" s="197"/>
      <c r="BN411" s="197"/>
    </row>
    <row r="412" spans="26:66" ht="16.2">
      <c r="Z412" s="196"/>
      <c r="BD412" s="197"/>
      <c r="BN412" s="197"/>
    </row>
    <row r="413" spans="26:66" ht="16.2">
      <c r="Z413" s="196"/>
      <c r="BD413" s="197"/>
      <c r="BN413" s="197"/>
    </row>
    <row r="414" spans="26:66" ht="16.2">
      <c r="Z414" s="196"/>
      <c r="BD414" s="197"/>
      <c r="BN414" s="197"/>
    </row>
    <row r="415" spans="26:66" ht="16.2">
      <c r="Z415" s="196"/>
      <c r="BD415" s="197"/>
      <c r="BN415" s="197"/>
    </row>
    <row r="416" spans="26:66" ht="16.2">
      <c r="Z416" s="196"/>
      <c r="BD416" s="197"/>
      <c r="BN416" s="197"/>
    </row>
    <row r="417" spans="26:66" ht="16.2">
      <c r="Z417" s="196"/>
      <c r="BD417" s="197"/>
      <c r="BN417" s="197"/>
    </row>
    <row r="418" spans="26:66" ht="16.2">
      <c r="Z418" s="196"/>
      <c r="BD418" s="197"/>
      <c r="BN418" s="197"/>
    </row>
    <row r="419" spans="26:66" ht="16.2">
      <c r="Z419" s="196"/>
      <c r="BD419" s="197"/>
      <c r="BN419" s="197"/>
    </row>
    <row r="420" spans="26:66" ht="16.2">
      <c r="Z420" s="196"/>
      <c r="BD420" s="197"/>
      <c r="BN420" s="197"/>
    </row>
    <row r="421" spans="26:66" ht="16.2">
      <c r="Z421" s="196"/>
      <c r="BD421" s="197"/>
      <c r="BN421" s="197"/>
    </row>
    <row r="422" spans="26:66" ht="16.2">
      <c r="Z422" s="196"/>
      <c r="BD422" s="197"/>
      <c r="BN422" s="197"/>
    </row>
    <row r="423" spans="26:66" ht="16.2">
      <c r="Z423" s="196"/>
      <c r="BD423" s="197"/>
      <c r="BN423" s="197"/>
    </row>
    <row r="424" spans="26:66" ht="16.2">
      <c r="Z424" s="196"/>
      <c r="BD424" s="197"/>
      <c r="BN424" s="197"/>
    </row>
    <row r="425" spans="26:66" ht="16.2">
      <c r="Z425" s="196"/>
      <c r="BD425" s="197"/>
      <c r="BN425" s="197"/>
    </row>
    <row r="426" spans="26:66" ht="16.2">
      <c r="Z426" s="196"/>
      <c r="BD426" s="197"/>
      <c r="BN426" s="197"/>
    </row>
    <row r="427" spans="26:66" ht="16.2">
      <c r="Z427" s="196"/>
      <c r="BD427" s="197"/>
      <c r="BN427" s="197"/>
    </row>
    <row r="428" spans="26:66" ht="16.2">
      <c r="Z428" s="196"/>
      <c r="BD428" s="197"/>
      <c r="BN428" s="197"/>
    </row>
    <row r="429" spans="26:66" ht="16.2">
      <c r="Z429" s="196"/>
      <c r="BD429" s="197"/>
      <c r="BN429" s="197"/>
    </row>
    <row r="430" spans="26:66" ht="16.2">
      <c r="Z430" s="196"/>
      <c r="BD430" s="197"/>
      <c r="BN430" s="197"/>
    </row>
    <row r="431" spans="26:66" ht="16.2">
      <c r="Z431" s="196"/>
      <c r="BD431" s="197"/>
      <c r="BN431" s="197"/>
    </row>
    <row r="432" spans="26:66" ht="16.2">
      <c r="Z432" s="196"/>
      <c r="BD432" s="197"/>
      <c r="BN432" s="197"/>
    </row>
    <row r="433" spans="26:66" ht="16.2">
      <c r="Z433" s="196"/>
      <c r="BD433" s="197"/>
      <c r="BN433" s="197"/>
    </row>
    <row r="434" spans="26:66" ht="16.2">
      <c r="Z434" s="196"/>
      <c r="BD434" s="197"/>
      <c r="BN434" s="197"/>
    </row>
    <row r="435" spans="26:66" ht="16.2">
      <c r="Z435" s="196"/>
      <c r="BD435" s="197"/>
      <c r="BN435" s="197"/>
    </row>
    <row r="436" spans="26:66" ht="16.2">
      <c r="Z436" s="196"/>
      <c r="BD436" s="197"/>
      <c r="BN436" s="197"/>
    </row>
    <row r="437" spans="26:66" ht="16.2">
      <c r="Z437" s="196"/>
      <c r="BD437" s="197"/>
      <c r="BN437" s="197"/>
    </row>
    <row r="438" spans="26:66" ht="16.2">
      <c r="Z438" s="196"/>
      <c r="BD438" s="197"/>
      <c r="BN438" s="197"/>
    </row>
    <row r="439" spans="26:66" ht="16.2">
      <c r="Z439" s="196"/>
      <c r="BD439" s="197"/>
      <c r="BN439" s="197"/>
    </row>
    <row r="440" spans="26:66" ht="16.2">
      <c r="Z440" s="196"/>
      <c r="BD440" s="197"/>
      <c r="BN440" s="197"/>
    </row>
    <row r="441" spans="26:66" ht="16.2">
      <c r="Z441" s="196"/>
      <c r="BD441" s="197"/>
      <c r="BN441" s="197"/>
    </row>
    <row r="442" spans="26:66" ht="16.2">
      <c r="Z442" s="196"/>
      <c r="BD442" s="197"/>
      <c r="BN442" s="197"/>
    </row>
    <row r="443" spans="26:66" ht="16.2">
      <c r="Z443" s="196"/>
      <c r="BD443" s="197"/>
      <c r="BN443" s="197"/>
    </row>
    <row r="444" spans="26:66" ht="16.2">
      <c r="Z444" s="196"/>
      <c r="BD444" s="197"/>
      <c r="BN444" s="197"/>
    </row>
    <row r="445" spans="26:66" ht="16.2">
      <c r="Z445" s="196"/>
      <c r="BD445" s="197"/>
      <c r="BN445" s="197"/>
    </row>
    <row r="446" spans="26:66" ht="16.2">
      <c r="Z446" s="196"/>
      <c r="BD446" s="197"/>
      <c r="BN446" s="197"/>
    </row>
    <row r="447" spans="26:66" ht="16.2">
      <c r="Z447" s="196"/>
      <c r="BD447" s="197"/>
      <c r="BN447" s="197"/>
    </row>
    <row r="448" spans="26:66" ht="16.2">
      <c r="Z448" s="196"/>
      <c r="BD448" s="197"/>
      <c r="BN448" s="197"/>
    </row>
    <row r="449" spans="26:66" ht="16.2">
      <c r="Z449" s="196"/>
      <c r="BD449" s="197"/>
      <c r="BN449" s="197"/>
    </row>
    <row r="450" spans="26:66" ht="16.2">
      <c r="Z450" s="196"/>
      <c r="BD450" s="197"/>
      <c r="BN450" s="197"/>
    </row>
    <row r="451" spans="26:66" ht="16.2">
      <c r="Z451" s="196"/>
      <c r="BD451" s="197"/>
      <c r="BN451" s="197"/>
    </row>
    <row r="452" spans="26:66" ht="16.2">
      <c r="Z452" s="196"/>
      <c r="BD452" s="197"/>
      <c r="BN452" s="197"/>
    </row>
    <row r="453" spans="26:66" ht="16.2">
      <c r="Z453" s="196"/>
      <c r="BD453" s="197"/>
      <c r="BN453" s="197"/>
    </row>
    <row r="454" spans="26:66" ht="16.2">
      <c r="Z454" s="196"/>
      <c r="BD454" s="197"/>
      <c r="BN454" s="197"/>
    </row>
    <row r="455" spans="26:66" ht="16.2">
      <c r="Z455" s="196"/>
      <c r="BD455" s="197"/>
      <c r="BN455" s="197"/>
    </row>
    <row r="456" spans="26:66" ht="16.2">
      <c r="Z456" s="196"/>
      <c r="BD456" s="197"/>
      <c r="BN456" s="197"/>
    </row>
    <row r="457" spans="26:66" ht="16.2">
      <c r="Z457" s="196"/>
      <c r="BD457" s="197"/>
      <c r="BN457" s="197"/>
    </row>
    <row r="458" spans="26:66" ht="16.2">
      <c r="Z458" s="196"/>
      <c r="BD458" s="197"/>
      <c r="BN458" s="197"/>
    </row>
    <row r="459" spans="26:66" ht="16.2">
      <c r="Z459" s="196"/>
      <c r="BD459" s="197"/>
      <c r="BN459" s="197"/>
    </row>
    <row r="460" spans="26:66" ht="16.2">
      <c r="Z460" s="196"/>
      <c r="BD460" s="197"/>
      <c r="BN460" s="197"/>
    </row>
    <row r="461" spans="26:66" ht="16.2">
      <c r="Z461" s="196"/>
      <c r="BD461" s="197"/>
      <c r="BN461" s="197"/>
    </row>
    <row r="462" spans="26:66" ht="16.2">
      <c r="Z462" s="196"/>
      <c r="BD462" s="197"/>
      <c r="BN462" s="197"/>
    </row>
    <row r="463" spans="26:66" ht="16.2">
      <c r="Z463" s="196"/>
      <c r="BD463" s="197"/>
      <c r="BN463" s="197"/>
    </row>
    <row r="464" spans="26:66" ht="16.2">
      <c r="Z464" s="196"/>
      <c r="BD464" s="197"/>
      <c r="BN464" s="197"/>
    </row>
    <row r="465" spans="26:66" ht="16.2">
      <c r="Z465" s="196"/>
      <c r="BD465" s="197"/>
      <c r="BN465" s="197"/>
    </row>
    <row r="466" spans="26:66" ht="16.2">
      <c r="Z466" s="196"/>
      <c r="BD466" s="197"/>
      <c r="BN466" s="197"/>
    </row>
    <row r="467" spans="26:66" ht="16.2">
      <c r="Z467" s="196"/>
      <c r="BD467" s="197"/>
      <c r="BN467" s="197"/>
    </row>
    <row r="468" spans="26:66" ht="16.2">
      <c r="Z468" s="196"/>
      <c r="BD468" s="197"/>
      <c r="BN468" s="197"/>
    </row>
    <row r="469" spans="26:66" ht="16.2">
      <c r="Z469" s="196"/>
      <c r="BD469" s="197"/>
      <c r="BN469" s="197"/>
    </row>
    <row r="470" spans="26:66" ht="16.2">
      <c r="Z470" s="196"/>
      <c r="BD470" s="197"/>
      <c r="BN470" s="197"/>
    </row>
    <row r="471" spans="26:66" ht="16.2">
      <c r="Z471" s="196"/>
      <c r="BD471" s="197"/>
      <c r="BN471" s="197"/>
    </row>
    <row r="472" spans="26:66" ht="16.2">
      <c r="Z472" s="196"/>
      <c r="BD472" s="197"/>
      <c r="BN472" s="197"/>
    </row>
    <row r="473" spans="26:66" ht="16.2">
      <c r="Z473" s="196"/>
      <c r="BD473" s="197"/>
      <c r="BN473" s="197"/>
    </row>
    <row r="474" spans="26:66" ht="16.2">
      <c r="Z474" s="196"/>
      <c r="BD474" s="197"/>
      <c r="BN474" s="197"/>
    </row>
    <row r="475" spans="26:66" ht="16.2">
      <c r="Z475" s="196"/>
      <c r="BD475" s="197"/>
      <c r="BN475" s="197"/>
    </row>
    <row r="476" spans="26:66" ht="16.2">
      <c r="Z476" s="196"/>
      <c r="BD476" s="197"/>
      <c r="BN476" s="197"/>
    </row>
    <row r="477" spans="26:66" ht="16.2">
      <c r="Z477" s="196"/>
      <c r="BD477" s="197"/>
      <c r="BN477" s="197"/>
    </row>
    <row r="478" spans="26:66" ht="16.2">
      <c r="Z478" s="196"/>
      <c r="BD478" s="197"/>
      <c r="BN478" s="197"/>
    </row>
    <row r="479" spans="26:66" ht="16.2">
      <c r="Z479" s="196"/>
      <c r="BD479" s="197"/>
      <c r="BN479" s="197"/>
    </row>
    <row r="480" spans="26:66" ht="16.2">
      <c r="Z480" s="196"/>
      <c r="BD480" s="197"/>
      <c r="BN480" s="197"/>
    </row>
    <row r="481" spans="26:66" ht="16.2">
      <c r="Z481" s="196"/>
      <c r="BD481" s="197"/>
      <c r="BN481" s="197"/>
    </row>
    <row r="482" spans="26:66" ht="16.2">
      <c r="Z482" s="196"/>
      <c r="BD482" s="197"/>
      <c r="BN482" s="197"/>
    </row>
    <row r="483" spans="26:66" ht="16.2">
      <c r="Z483" s="196"/>
      <c r="BD483" s="197"/>
      <c r="BN483" s="197"/>
    </row>
    <row r="484" spans="26:66" ht="16.2">
      <c r="Z484" s="196"/>
      <c r="BD484" s="197"/>
      <c r="BN484" s="197"/>
    </row>
    <row r="485" spans="26:66" ht="16.2">
      <c r="Z485" s="196"/>
      <c r="BD485" s="197"/>
      <c r="BN485" s="197"/>
    </row>
    <row r="486" spans="26:66" ht="16.2">
      <c r="Z486" s="196"/>
      <c r="BD486" s="197"/>
      <c r="BN486" s="197"/>
    </row>
    <row r="487" spans="26:66" ht="16.2">
      <c r="Z487" s="196"/>
      <c r="BD487" s="197"/>
      <c r="BN487" s="197"/>
    </row>
    <row r="488" spans="26:66" ht="16.2">
      <c r="Z488" s="196"/>
      <c r="BD488" s="197"/>
      <c r="BN488" s="197"/>
    </row>
    <row r="489" spans="26:66" ht="16.2">
      <c r="Z489" s="196"/>
      <c r="BD489" s="197"/>
      <c r="BN489" s="197"/>
    </row>
    <row r="490" spans="26:66" ht="16.2">
      <c r="Z490" s="196"/>
      <c r="BD490" s="197"/>
      <c r="BN490" s="197"/>
    </row>
    <row r="491" spans="26:66" ht="16.2">
      <c r="Z491" s="196"/>
      <c r="BD491" s="197"/>
      <c r="BN491" s="197"/>
    </row>
    <row r="492" spans="26:66" ht="16.2">
      <c r="Z492" s="196"/>
      <c r="BD492" s="197"/>
      <c r="BN492" s="197"/>
    </row>
    <row r="493" spans="26:66" ht="16.2">
      <c r="Z493" s="196"/>
      <c r="BD493" s="197"/>
      <c r="BN493" s="197"/>
    </row>
    <row r="494" spans="26:66" ht="16.2">
      <c r="Z494" s="196"/>
      <c r="BD494" s="197"/>
      <c r="BN494" s="197"/>
    </row>
    <row r="495" spans="26:66" ht="16.2">
      <c r="Z495" s="196"/>
      <c r="BD495" s="197"/>
      <c r="BN495" s="197"/>
    </row>
    <row r="496" spans="26:66" ht="16.2">
      <c r="Z496" s="196"/>
      <c r="BD496" s="197"/>
      <c r="BN496" s="197"/>
    </row>
    <row r="497" spans="26:66" ht="16.2">
      <c r="Z497" s="196"/>
      <c r="BD497" s="197"/>
      <c r="BN497" s="197"/>
    </row>
    <row r="498" spans="26:66" ht="16.2">
      <c r="Z498" s="196"/>
      <c r="BD498" s="197"/>
      <c r="BN498" s="197"/>
    </row>
    <row r="499" spans="26:66" ht="16.2">
      <c r="Z499" s="196"/>
      <c r="BD499" s="197"/>
      <c r="BN499" s="197"/>
    </row>
    <row r="500" spans="26:66" ht="16.2">
      <c r="Z500" s="196"/>
      <c r="BD500" s="197"/>
      <c r="BN500" s="197"/>
    </row>
    <row r="501" spans="26:66" ht="16.2">
      <c r="Z501" s="196"/>
      <c r="BD501" s="197"/>
      <c r="BN501" s="197"/>
    </row>
    <row r="502" spans="26:66" ht="16.2">
      <c r="Z502" s="196"/>
      <c r="BD502" s="197"/>
      <c r="BN502" s="197"/>
    </row>
    <row r="503" spans="26:66" ht="16.2">
      <c r="Z503" s="196"/>
      <c r="BD503" s="197"/>
      <c r="BN503" s="197"/>
    </row>
    <row r="504" spans="26:66" ht="16.2">
      <c r="Z504" s="196"/>
      <c r="BD504" s="197"/>
      <c r="BN504" s="197"/>
    </row>
    <row r="505" spans="26:66" ht="16.2">
      <c r="Z505" s="196"/>
      <c r="BD505" s="197"/>
      <c r="BN505" s="197"/>
    </row>
    <row r="506" spans="26:66" ht="16.2">
      <c r="Z506" s="196"/>
      <c r="BD506" s="197"/>
      <c r="BN506" s="197"/>
    </row>
    <row r="507" spans="26:66" ht="16.2">
      <c r="Z507" s="196"/>
      <c r="BD507" s="197"/>
      <c r="BN507" s="197"/>
    </row>
    <row r="508" spans="26:66" ht="16.2">
      <c r="Z508" s="196"/>
      <c r="BD508" s="197"/>
      <c r="BN508" s="197"/>
    </row>
    <row r="509" spans="26:66" ht="16.2">
      <c r="Z509" s="196"/>
      <c r="BD509" s="197"/>
      <c r="BN509" s="197"/>
    </row>
    <row r="510" spans="26:66" ht="16.2">
      <c r="Z510" s="196"/>
      <c r="BD510" s="197"/>
      <c r="BN510" s="197"/>
    </row>
    <row r="511" spans="26:66" ht="16.2">
      <c r="Z511" s="196"/>
      <c r="BD511" s="197"/>
      <c r="BN511" s="197"/>
    </row>
    <row r="512" spans="26:66" ht="16.2">
      <c r="Z512" s="196"/>
      <c r="BD512" s="197"/>
      <c r="BN512" s="197"/>
    </row>
    <row r="513" spans="26:66" ht="16.2">
      <c r="Z513" s="196"/>
      <c r="BD513" s="197"/>
      <c r="BN513" s="197"/>
    </row>
    <row r="514" spans="26:66" ht="16.2">
      <c r="Z514" s="196"/>
      <c r="BD514" s="197"/>
      <c r="BN514" s="197"/>
    </row>
    <row r="515" spans="26:66" ht="16.2">
      <c r="Z515" s="196"/>
      <c r="BD515" s="197"/>
      <c r="BN515" s="197"/>
    </row>
    <row r="516" spans="26:66" ht="16.2">
      <c r="Z516" s="196"/>
      <c r="BD516" s="197"/>
      <c r="BN516" s="197"/>
    </row>
    <row r="517" spans="26:66" ht="16.2">
      <c r="Z517" s="196"/>
      <c r="BD517" s="197"/>
      <c r="BN517" s="197"/>
    </row>
    <row r="518" spans="26:66" ht="16.2">
      <c r="Z518" s="196"/>
      <c r="BD518" s="197"/>
      <c r="BN518" s="197"/>
    </row>
    <row r="519" spans="26:66" ht="16.2">
      <c r="Z519" s="196"/>
      <c r="BD519" s="197"/>
      <c r="BN519" s="197"/>
    </row>
    <row r="520" spans="26:66" ht="16.2">
      <c r="Z520" s="196"/>
      <c r="BD520" s="197"/>
      <c r="BN520" s="197"/>
    </row>
    <row r="521" spans="26:66" ht="16.2">
      <c r="Z521" s="196"/>
      <c r="BD521" s="197"/>
      <c r="BN521" s="197"/>
    </row>
    <row r="522" spans="26:66" ht="16.2">
      <c r="Z522" s="196"/>
      <c r="BD522" s="197"/>
      <c r="BN522" s="197"/>
    </row>
    <row r="523" spans="26:66" ht="16.2">
      <c r="Z523" s="196"/>
      <c r="BD523" s="197"/>
      <c r="BN523" s="197"/>
    </row>
    <row r="524" spans="26:66" ht="16.2">
      <c r="Z524" s="196"/>
      <c r="BD524" s="197"/>
      <c r="BN524" s="197"/>
    </row>
    <row r="525" spans="26:66" ht="16.2">
      <c r="Z525" s="196"/>
      <c r="BD525" s="197"/>
      <c r="BN525" s="197"/>
    </row>
    <row r="526" spans="26:66" ht="16.2">
      <c r="Z526" s="196"/>
      <c r="BD526" s="197"/>
      <c r="BN526" s="197"/>
    </row>
    <row r="527" spans="26:66" ht="16.2">
      <c r="Z527" s="196"/>
      <c r="BD527" s="197"/>
      <c r="BN527" s="197"/>
    </row>
    <row r="528" spans="26:66" ht="16.2">
      <c r="Z528" s="196"/>
      <c r="BD528" s="197"/>
      <c r="BN528" s="197"/>
    </row>
    <row r="529" spans="26:66" ht="16.2">
      <c r="Z529" s="196"/>
      <c r="BD529" s="197"/>
      <c r="BN529" s="197"/>
    </row>
    <row r="530" spans="26:66" ht="16.2">
      <c r="Z530" s="196"/>
      <c r="BD530" s="197"/>
      <c r="BN530" s="197"/>
    </row>
    <row r="531" spans="26:66" ht="16.2">
      <c r="Z531" s="196"/>
      <c r="BD531" s="197"/>
      <c r="BN531" s="197"/>
    </row>
    <row r="532" spans="26:66" ht="16.2">
      <c r="Z532" s="196"/>
      <c r="BD532" s="197"/>
      <c r="BN532" s="197"/>
    </row>
    <row r="533" spans="26:66" ht="16.2">
      <c r="Z533" s="196"/>
      <c r="BD533" s="197"/>
      <c r="BN533" s="197"/>
    </row>
    <row r="534" spans="26:66" ht="16.2">
      <c r="Z534" s="196"/>
      <c r="BD534" s="197"/>
      <c r="BN534" s="197"/>
    </row>
    <row r="535" spans="26:66" ht="16.2">
      <c r="Z535" s="196"/>
      <c r="BD535" s="197"/>
      <c r="BN535" s="197"/>
    </row>
    <row r="536" spans="26:66" ht="16.2">
      <c r="Z536" s="196"/>
      <c r="BD536" s="197"/>
      <c r="BN536" s="197"/>
    </row>
    <row r="537" spans="26:66" ht="16.2">
      <c r="Z537" s="196"/>
      <c r="BD537" s="197"/>
      <c r="BN537" s="197"/>
    </row>
    <row r="538" spans="26:66" ht="16.2">
      <c r="Z538" s="196"/>
      <c r="BD538" s="197"/>
      <c r="BN538" s="197"/>
    </row>
    <row r="539" spans="26:66" ht="16.2">
      <c r="Z539" s="196"/>
      <c r="BD539" s="197"/>
      <c r="BN539" s="197"/>
    </row>
    <row r="540" spans="26:66" ht="16.2">
      <c r="Z540" s="196"/>
      <c r="BD540" s="197"/>
      <c r="BN540" s="197"/>
    </row>
    <row r="541" spans="26:66" ht="16.2">
      <c r="Z541" s="196"/>
      <c r="BD541" s="197"/>
      <c r="BN541" s="197"/>
    </row>
    <row r="542" spans="26:66" ht="16.2">
      <c r="Z542" s="196"/>
      <c r="BD542" s="197"/>
      <c r="BN542" s="197"/>
    </row>
    <row r="543" spans="26:66" ht="16.2">
      <c r="Z543" s="196"/>
      <c r="BD543" s="197"/>
      <c r="BN543" s="197"/>
    </row>
    <row r="544" spans="26:66" ht="16.2">
      <c r="Z544" s="196"/>
      <c r="BD544" s="197"/>
      <c r="BN544" s="197"/>
    </row>
    <row r="545" spans="26:66" ht="16.2">
      <c r="Z545" s="196"/>
      <c r="BD545" s="197"/>
      <c r="BN545" s="197"/>
    </row>
    <row r="546" spans="26:66" ht="16.2">
      <c r="Z546" s="196"/>
      <c r="BD546" s="197"/>
      <c r="BN546" s="197"/>
    </row>
    <row r="547" spans="26:66" ht="16.2">
      <c r="Z547" s="196"/>
      <c r="BD547" s="197"/>
      <c r="BN547" s="197"/>
    </row>
    <row r="548" spans="26:66" ht="16.2">
      <c r="Z548" s="196"/>
      <c r="BD548" s="197"/>
      <c r="BN548" s="197"/>
    </row>
    <row r="549" spans="26:66" ht="16.2">
      <c r="Z549" s="196"/>
      <c r="BD549" s="197"/>
      <c r="BN549" s="197"/>
    </row>
    <row r="550" spans="26:66" ht="16.2">
      <c r="Z550" s="196"/>
      <c r="BD550" s="197"/>
      <c r="BN550" s="197"/>
    </row>
    <row r="551" spans="26:66" ht="16.2">
      <c r="Z551" s="196"/>
      <c r="BD551" s="197"/>
      <c r="BN551" s="197"/>
    </row>
    <row r="552" spans="26:66" ht="16.2">
      <c r="Z552" s="196"/>
      <c r="BD552" s="197"/>
      <c r="BN552" s="197"/>
    </row>
    <row r="553" spans="26:66" ht="16.2">
      <c r="Z553" s="196"/>
      <c r="BD553" s="197"/>
      <c r="BN553" s="197"/>
    </row>
    <row r="554" spans="26:66" ht="16.2">
      <c r="Z554" s="196"/>
      <c r="BD554" s="197"/>
      <c r="BN554" s="197"/>
    </row>
    <row r="555" spans="26:66" ht="16.2">
      <c r="Z555" s="196"/>
      <c r="BD555" s="197"/>
      <c r="BN555" s="197"/>
    </row>
    <row r="556" spans="26:66" ht="16.2">
      <c r="Z556" s="196"/>
      <c r="BD556" s="197"/>
      <c r="BN556" s="197"/>
    </row>
    <row r="557" spans="26:66" ht="16.2">
      <c r="Z557" s="196"/>
      <c r="BD557" s="197"/>
      <c r="BN557" s="197"/>
    </row>
    <row r="558" spans="26:66" ht="16.2">
      <c r="Z558" s="196"/>
      <c r="BD558" s="197"/>
      <c r="BN558" s="197"/>
    </row>
    <row r="559" spans="26:66" ht="16.2">
      <c r="Z559" s="196"/>
      <c r="BD559" s="197"/>
      <c r="BN559" s="197"/>
    </row>
    <row r="560" spans="26:66" ht="16.2">
      <c r="Z560" s="196"/>
      <c r="BD560" s="197"/>
      <c r="BN560" s="197"/>
    </row>
    <row r="561" spans="26:66" ht="16.2">
      <c r="Z561" s="196"/>
      <c r="BD561" s="197"/>
      <c r="BN561" s="197"/>
    </row>
    <row r="562" spans="26:66" ht="16.2">
      <c r="Z562" s="196"/>
      <c r="BD562" s="197"/>
      <c r="BN562" s="197"/>
    </row>
    <row r="563" spans="26:66" ht="16.2">
      <c r="Z563" s="196"/>
      <c r="BD563" s="197"/>
      <c r="BN563" s="197"/>
    </row>
    <row r="564" spans="26:66" ht="16.2">
      <c r="Z564" s="196"/>
      <c r="BD564" s="197"/>
      <c r="BN564" s="197"/>
    </row>
    <row r="565" spans="26:66" ht="16.2">
      <c r="Z565" s="196"/>
      <c r="BD565" s="197"/>
      <c r="BN565" s="197"/>
    </row>
    <row r="566" spans="26:66" ht="16.2">
      <c r="Z566" s="196"/>
      <c r="BD566" s="197"/>
      <c r="BN566" s="197"/>
    </row>
    <row r="567" spans="26:66" ht="16.2">
      <c r="Z567" s="196"/>
      <c r="BD567" s="197"/>
      <c r="BN567" s="197"/>
    </row>
    <row r="568" spans="26:66" ht="16.2">
      <c r="Z568" s="196"/>
      <c r="BD568" s="197"/>
      <c r="BN568" s="197"/>
    </row>
    <row r="569" spans="26:66" ht="16.2">
      <c r="Z569" s="196"/>
      <c r="BD569" s="197"/>
      <c r="BN569" s="197"/>
    </row>
    <row r="570" spans="26:66" ht="16.2">
      <c r="Z570" s="196"/>
      <c r="BD570" s="197"/>
      <c r="BN570" s="197"/>
    </row>
    <row r="571" spans="26:66" ht="16.2">
      <c r="Z571" s="196"/>
      <c r="BD571" s="197"/>
      <c r="BN571" s="197"/>
    </row>
    <row r="572" spans="26:66" ht="16.2">
      <c r="Z572" s="196"/>
      <c r="BD572" s="197"/>
      <c r="BN572" s="197"/>
    </row>
    <row r="573" spans="26:66" ht="16.2">
      <c r="Z573" s="196"/>
      <c r="BD573" s="197"/>
      <c r="BN573" s="197"/>
    </row>
    <row r="574" spans="26:66" ht="16.2">
      <c r="Z574" s="196"/>
      <c r="BD574" s="197"/>
      <c r="BN574" s="197"/>
    </row>
    <row r="575" spans="26:66" ht="16.2">
      <c r="Z575" s="196"/>
      <c r="BD575" s="197"/>
      <c r="BN575" s="197"/>
    </row>
    <row r="576" spans="26:66" ht="16.2">
      <c r="Z576" s="196"/>
      <c r="BD576" s="197"/>
      <c r="BN576" s="197"/>
    </row>
    <row r="577" spans="26:66" ht="16.2">
      <c r="Z577" s="196"/>
      <c r="BD577" s="197"/>
      <c r="BN577" s="197"/>
    </row>
    <row r="578" spans="26:66" ht="16.2">
      <c r="Z578" s="196"/>
      <c r="BD578" s="197"/>
      <c r="BN578" s="197"/>
    </row>
    <row r="579" spans="26:66" ht="16.2">
      <c r="Z579" s="196"/>
      <c r="BD579" s="197"/>
      <c r="BN579" s="197"/>
    </row>
    <row r="580" spans="26:66" ht="16.2">
      <c r="Z580" s="196"/>
      <c r="BD580" s="197"/>
      <c r="BN580" s="197"/>
    </row>
    <row r="581" spans="26:66" ht="16.2">
      <c r="Z581" s="196"/>
      <c r="BD581" s="197"/>
      <c r="BN581" s="197"/>
    </row>
    <row r="582" spans="26:66" ht="16.2">
      <c r="Z582" s="196"/>
      <c r="BD582" s="197"/>
      <c r="BN582" s="197"/>
    </row>
    <row r="583" spans="26:66" ht="16.2">
      <c r="Z583" s="196"/>
      <c r="BD583" s="197"/>
      <c r="BN583" s="197"/>
    </row>
    <row r="584" spans="26:66" ht="16.2">
      <c r="Z584" s="196"/>
      <c r="BD584" s="197"/>
      <c r="BN584" s="197"/>
    </row>
    <row r="585" spans="26:66" ht="16.2">
      <c r="Z585" s="196"/>
      <c r="BD585" s="197"/>
      <c r="BN585" s="197"/>
    </row>
    <row r="586" spans="26:66" ht="16.2">
      <c r="Z586" s="196"/>
      <c r="BD586" s="197"/>
      <c r="BN586" s="197"/>
    </row>
    <row r="587" spans="26:66" ht="16.2">
      <c r="Z587" s="196"/>
      <c r="BD587" s="197"/>
      <c r="BN587" s="197"/>
    </row>
    <row r="588" spans="26:66" ht="16.2">
      <c r="Z588" s="196"/>
      <c r="BD588" s="197"/>
      <c r="BN588" s="197"/>
    </row>
    <row r="589" spans="26:66" ht="16.2">
      <c r="Z589" s="196"/>
      <c r="BD589" s="197"/>
      <c r="BN589" s="197"/>
    </row>
    <row r="590" spans="26:66" ht="16.2">
      <c r="Z590" s="196"/>
      <c r="BD590" s="197"/>
      <c r="BN590" s="197"/>
    </row>
    <row r="591" spans="26:66" ht="16.2">
      <c r="Z591" s="196"/>
      <c r="BD591" s="197"/>
      <c r="BN591" s="197"/>
    </row>
    <row r="592" spans="26:66" ht="16.2">
      <c r="Z592" s="196"/>
      <c r="BD592" s="197"/>
      <c r="BN592" s="197"/>
    </row>
    <row r="593" spans="26:66" ht="16.2">
      <c r="Z593" s="196"/>
      <c r="BD593" s="197"/>
      <c r="BN593" s="197"/>
    </row>
    <row r="594" spans="26:66" ht="16.2">
      <c r="Z594" s="196"/>
      <c r="BD594" s="197"/>
      <c r="BN594" s="197"/>
    </row>
    <row r="595" spans="26:66" ht="16.2">
      <c r="Z595" s="196"/>
      <c r="BD595" s="197"/>
      <c r="BN595" s="197"/>
    </row>
    <row r="596" spans="26:66" ht="16.2">
      <c r="Z596" s="196"/>
      <c r="BD596" s="197"/>
      <c r="BN596" s="197"/>
    </row>
    <row r="597" spans="26:66" ht="16.2">
      <c r="Z597" s="196"/>
      <c r="BD597" s="197"/>
      <c r="BN597" s="197"/>
    </row>
    <row r="598" spans="26:66" ht="16.2">
      <c r="Z598" s="196"/>
      <c r="BD598" s="197"/>
      <c r="BN598" s="197"/>
    </row>
    <row r="599" spans="26:66" ht="16.2">
      <c r="Z599" s="196"/>
      <c r="BD599" s="197"/>
      <c r="BN599" s="197"/>
    </row>
    <row r="600" spans="26:66" ht="16.2">
      <c r="Z600" s="196"/>
      <c r="BD600" s="197"/>
      <c r="BN600" s="197"/>
    </row>
    <row r="601" spans="26:66" ht="16.2">
      <c r="Z601" s="196"/>
      <c r="BD601" s="197"/>
      <c r="BN601" s="197"/>
    </row>
    <row r="602" spans="26:66" ht="16.2">
      <c r="Z602" s="196"/>
      <c r="BD602" s="197"/>
      <c r="BN602" s="197"/>
    </row>
    <row r="603" spans="26:66" ht="16.2">
      <c r="Z603" s="196"/>
      <c r="BD603" s="197"/>
      <c r="BN603" s="197"/>
    </row>
    <row r="604" spans="26:66" ht="16.2">
      <c r="Z604" s="196"/>
      <c r="BD604" s="197"/>
      <c r="BN604" s="197"/>
    </row>
    <row r="605" spans="26:66" ht="16.2">
      <c r="Z605" s="196"/>
      <c r="BD605" s="197"/>
      <c r="BN605" s="197"/>
    </row>
    <row r="606" spans="26:66" ht="16.2">
      <c r="Z606" s="196"/>
      <c r="BD606" s="197"/>
      <c r="BN606" s="197"/>
    </row>
    <row r="607" spans="26:66" ht="16.2">
      <c r="Z607" s="196"/>
      <c r="BD607" s="197"/>
      <c r="BN607" s="197"/>
    </row>
    <row r="608" spans="26:66" ht="16.2">
      <c r="Z608" s="196"/>
      <c r="BD608" s="197"/>
      <c r="BN608" s="197"/>
    </row>
    <row r="609" spans="26:66" ht="16.2">
      <c r="Z609" s="196"/>
      <c r="BD609" s="197"/>
      <c r="BN609" s="197"/>
    </row>
    <row r="610" spans="26:66" ht="16.2">
      <c r="Z610" s="196"/>
      <c r="BD610" s="197"/>
      <c r="BN610" s="197"/>
    </row>
    <row r="611" spans="26:66" ht="16.2">
      <c r="Z611" s="196"/>
      <c r="BD611" s="197"/>
      <c r="BN611" s="197"/>
    </row>
    <row r="612" spans="26:66" ht="16.2">
      <c r="Z612" s="196"/>
      <c r="BD612" s="197"/>
      <c r="BN612" s="197"/>
    </row>
    <row r="613" spans="26:66" ht="16.2">
      <c r="Z613" s="196"/>
      <c r="BD613" s="197"/>
      <c r="BN613" s="197"/>
    </row>
    <row r="614" spans="26:66" ht="16.2">
      <c r="Z614" s="196"/>
      <c r="BD614" s="197"/>
      <c r="BN614" s="197"/>
    </row>
    <row r="615" spans="26:66" ht="16.2">
      <c r="Z615" s="196"/>
      <c r="BD615" s="197"/>
      <c r="BN615" s="197"/>
    </row>
    <row r="616" spans="26:66" ht="16.2">
      <c r="Z616" s="196"/>
      <c r="BD616" s="197"/>
      <c r="BN616" s="197"/>
    </row>
    <row r="617" spans="26:66" ht="16.2">
      <c r="Z617" s="196"/>
      <c r="BD617" s="197"/>
      <c r="BN617" s="197"/>
    </row>
    <row r="618" spans="26:66" ht="16.2">
      <c r="Z618" s="196"/>
      <c r="BD618" s="197"/>
      <c r="BN618" s="197"/>
    </row>
    <row r="619" spans="26:66" ht="16.2">
      <c r="Z619" s="196"/>
      <c r="BD619" s="197"/>
      <c r="BN619" s="197"/>
    </row>
    <row r="620" spans="26:66" ht="16.2">
      <c r="Z620" s="196"/>
      <c r="BD620" s="197"/>
      <c r="BN620" s="197"/>
    </row>
    <row r="621" spans="26:66" ht="16.2">
      <c r="Z621" s="196"/>
      <c r="BD621" s="197"/>
      <c r="BN621" s="197"/>
    </row>
    <row r="622" spans="26:66" ht="16.2">
      <c r="Z622" s="196"/>
      <c r="BD622" s="197"/>
      <c r="BN622" s="197"/>
    </row>
    <row r="623" spans="26:66" ht="16.2">
      <c r="Z623" s="196"/>
      <c r="BD623" s="197"/>
      <c r="BN623" s="197"/>
    </row>
    <row r="624" spans="26:66" ht="16.2">
      <c r="Z624" s="196"/>
      <c r="BD624" s="197"/>
      <c r="BN624" s="197"/>
    </row>
    <row r="625" spans="26:66" ht="16.2">
      <c r="Z625" s="196"/>
      <c r="BD625" s="197"/>
      <c r="BN625" s="197"/>
    </row>
    <row r="626" spans="26:66" ht="16.2">
      <c r="Z626" s="196"/>
      <c r="BD626" s="197"/>
      <c r="BN626" s="197"/>
    </row>
    <row r="627" spans="26:66" ht="16.2">
      <c r="Z627" s="196"/>
      <c r="BD627" s="197"/>
      <c r="BN627" s="197"/>
    </row>
    <row r="628" spans="26:66" ht="16.2">
      <c r="Z628" s="196"/>
      <c r="BD628" s="197"/>
      <c r="BN628" s="197"/>
    </row>
    <row r="629" spans="26:66" ht="16.2">
      <c r="Z629" s="196"/>
      <c r="BD629" s="197"/>
      <c r="BN629" s="197"/>
    </row>
    <row r="630" spans="26:66" ht="16.2">
      <c r="Z630" s="196"/>
      <c r="BD630" s="197"/>
      <c r="BN630" s="197"/>
    </row>
    <row r="631" spans="26:66" ht="16.2">
      <c r="Z631" s="196"/>
      <c r="BD631" s="197"/>
      <c r="BN631" s="197"/>
    </row>
    <row r="632" spans="26:66" ht="16.2">
      <c r="Z632" s="196"/>
      <c r="BD632" s="197"/>
      <c r="BN632" s="197"/>
    </row>
    <row r="633" spans="26:66" ht="16.2">
      <c r="Z633" s="196"/>
      <c r="BD633" s="197"/>
      <c r="BN633" s="197"/>
    </row>
    <row r="634" spans="26:66" ht="16.2">
      <c r="Z634" s="196"/>
      <c r="BD634" s="197"/>
      <c r="BN634" s="197"/>
    </row>
    <row r="635" spans="26:66" ht="16.2">
      <c r="Z635" s="196"/>
      <c r="BD635" s="197"/>
      <c r="BN635" s="197"/>
    </row>
    <row r="636" spans="26:66" ht="16.2">
      <c r="Z636" s="196"/>
      <c r="BD636" s="197"/>
      <c r="BN636" s="197"/>
    </row>
    <row r="637" spans="26:66" ht="16.2">
      <c r="Z637" s="196"/>
      <c r="BD637" s="197"/>
      <c r="BN637" s="197"/>
    </row>
    <row r="638" spans="26:66" ht="16.2">
      <c r="Z638" s="196"/>
      <c r="BD638" s="197"/>
      <c r="BN638" s="197"/>
    </row>
    <row r="639" spans="26:66" ht="16.2">
      <c r="Z639" s="196"/>
      <c r="BD639" s="197"/>
      <c r="BN639" s="197"/>
    </row>
    <row r="640" spans="26:66" ht="16.2">
      <c r="Z640" s="196"/>
      <c r="BD640" s="197"/>
      <c r="BN640" s="197"/>
    </row>
    <row r="641" spans="26:66" ht="16.2">
      <c r="Z641" s="196"/>
      <c r="BD641" s="197"/>
      <c r="BN641" s="197"/>
    </row>
    <row r="642" spans="26:66" ht="16.2">
      <c r="Z642" s="196"/>
      <c r="BD642" s="197"/>
      <c r="BN642" s="197"/>
    </row>
    <row r="643" spans="26:66" ht="16.2">
      <c r="Z643" s="196"/>
      <c r="BD643" s="197"/>
      <c r="BN643" s="197"/>
    </row>
    <row r="644" spans="26:66" ht="16.2">
      <c r="Z644" s="196"/>
      <c r="BD644" s="197"/>
      <c r="BN644" s="197"/>
    </row>
    <row r="645" spans="26:66" ht="16.2">
      <c r="Z645" s="196"/>
      <c r="BD645" s="197"/>
      <c r="BN645" s="197"/>
    </row>
    <row r="646" spans="26:66" ht="16.2">
      <c r="Z646" s="196"/>
      <c r="BD646" s="197"/>
      <c r="BN646" s="197"/>
    </row>
    <row r="647" spans="26:66" ht="16.2">
      <c r="Z647" s="196"/>
      <c r="BD647" s="197"/>
      <c r="BN647" s="197"/>
    </row>
    <row r="648" spans="26:66" ht="16.2">
      <c r="Z648" s="196"/>
      <c r="BD648" s="197"/>
      <c r="BN648" s="197"/>
    </row>
    <row r="649" spans="26:66" ht="16.2">
      <c r="Z649" s="196"/>
      <c r="BD649" s="197"/>
      <c r="BN649" s="197"/>
    </row>
    <row r="650" spans="26:66" ht="16.2">
      <c r="Z650" s="196"/>
      <c r="BD650" s="197"/>
      <c r="BN650" s="197"/>
    </row>
    <row r="651" spans="26:66" ht="16.2">
      <c r="Z651" s="196"/>
      <c r="BD651" s="197"/>
      <c r="BN651" s="197"/>
    </row>
    <row r="652" spans="26:66" ht="16.2">
      <c r="Z652" s="196"/>
      <c r="BD652" s="197"/>
      <c r="BN652" s="197"/>
    </row>
    <row r="653" spans="26:66" ht="16.2">
      <c r="Z653" s="196"/>
      <c r="BD653" s="197"/>
      <c r="BN653" s="197"/>
    </row>
    <row r="654" spans="26:66" ht="16.2">
      <c r="Z654" s="196"/>
      <c r="BD654" s="197"/>
      <c r="BN654" s="197"/>
    </row>
    <row r="655" spans="26:66" ht="16.2">
      <c r="Z655" s="196"/>
      <c r="BD655" s="197"/>
      <c r="BN655" s="197"/>
    </row>
    <row r="656" spans="26:66" ht="16.2">
      <c r="Z656" s="196"/>
      <c r="BD656" s="197"/>
      <c r="BN656" s="197"/>
    </row>
    <row r="657" spans="26:66" ht="16.2">
      <c r="Z657" s="196"/>
      <c r="BD657" s="197"/>
      <c r="BN657" s="197"/>
    </row>
    <row r="658" spans="26:66" ht="16.2">
      <c r="Z658" s="196"/>
      <c r="BD658" s="197"/>
      <c r="BN658" s="197"/>
    </row>
    <row r="659" spans="26:66" ht="16.2">
      <c r="Z659" s="196"/>
      <c r="BD659" s="197"/>
      <c r="BN659" s="197"/>
    </row>
    <row r="660" spans="26:66" ht="16.2">
      <c r="Z660" s="196"/>
      <c r="BD660" s="197"/>
      <c r="BN660" s="197"/>
    </row>
    <row r="661" spans="26:66" ht="16.2">
      <c r="Z661" s="196"/>
      <c r="BD661" s="197"/>
      <c r="BN661" s="197"/>
    </row>
    <row r="662" spans="26:66" ht="16.2">
      <c r="Z662" s="196"/>
      <c r="BD662" s="197"/>
      <c r="BN662" s="197"/>
    </row>
    <row r="663" spans="26:66" ht="16.2">
      <c r="Z663" s="196"/>
      <c r="BD663" s="197"/>
      <c r="BN663" s="197"/>
    </row>
    <row r="664" spans="26:66" ht="16.2">
      <c r="Z664" s="196"/>
      <c r="BD664" s="197"/>
      <c r="BN664" s="197"/>
    </row>
    <row r="665" spans="26:66" ht="16.2">
      <c r="Z665" s="196"/>
      <c r="BD665" s="197"/>
      <c r="BN665" s="197"/>
    </row>
    <row r="666" spans="26:66" ht="16.2">
      <c r="Z666" s="196"/>
      <c r="BD666" s="197"/>
      <c r="BN666" s="197"/>
    </row>
    <row r="667" spans="26:66" ht="16.2">
      <c r="Z667" s="196"/>
      <c r="BD667" s="197"/>
      <c r="BN667" s="197"/>
    </row>
    <row r="668" spans="26:66" ht="16.2">
      <c r="Z668" s="196"/>
      <c r="BD668" s="197"/>
      <c r="BN668" s="197"/>
    </row>
    <row r="669" spans="26:66" ht="16.2">
      <c r="Z669" s="196"/>
      <c r="BD669" s="197"/>
      <c r="BN669" s="197"/>
    </row>
    <row r="670" spans="26:66" ht="16.2">
      <c r="Z670" s="196"/>
      <c r="BD670" s="197"/>
      <c r="BN670" s="197"/>
    </row>
    <row r="671" spans="26:66" ht="16.2">
      <c r="Z671" s="196"/>
      <c r="BD671" s="197"/>
      <c r="BN671" s="197"/>
    </row>
    <row r="672" spans="26:66" ht="16.2">
      <c r="Z672" s="196"/>
      <c r="BD672" s="197"/>
      <c r="BN672" s="197"/>
    </row>
    <row r="673" spans="26:66" ht="16.2">
      <c r="Z673" s="196"/>
      <c r="BD673" s="197"/>
      <c r="BN673" s="197"/>
    </row>
    <row r="674" spans="26:66" ht="16.2">
      <c r="Z674" s="196"/>
      <c r="BD674" s="197"/>
      <c r="BN674" s="197"/>
    </row>
    <row r="675" spans="26:66" ht="16.2">
      <c r="Z675" s="196"/>
      <c r="BD675" s="197"/>
      <c r="BN675" s="197"/>
    </row>
    <row r="676" spans="26:66" ht="16.2">
      <c r="Z676" s="196"/>
      <c r="BD676" s="197"/>
      <c r="BN676" s="197"/>
    </row>
    <row r="677" spans="26:66" ht="16.2">
      <c r="Z677" s="196"/>
      <c r="BD677" s="197"/>
      <c r="BN677" s="197"/>
    </row>
    <row r="678" spans="26:66" ht="16.2">
      <c r="Z678" s="196"/>
      <c r="BD678" s="197"/>
      <c r="BN678" s="197"/>
    </row>
    <row r="679" spans="26:66" ht="16.2">
      <c r="Z679" s="196"/>
      <c r="BD679" s="197"/>
      <c r="BN679" s="197"/>
    </row>
    <row r="680" spans="26:66" ht="16.2">
      <c r="Z680" s="196"/>
      <c r="BD680" s="197"/>
      <c r="BN680" s="197"/>
    </row>
    <row r="681" spans="26:66" ht="16.2">
      <c r="Z681" s="196"/>
      <c r="BD681" s="197"/>
      <c r="BN681" s="197"/>
    </row>
    <row r="682" spans="26:66" ht="16.2">
      <c r="Z682" s="196"/>
      <c r="BD682" s="197"/>
      <c r="BN682" s="197"/>
    </row>
    <row r="683" spans="26:66" ht="16.2">
      <c r="Z683" s="196"/>
      <c r="BD683" s="197"/>
      <c r="BN683" s="197"/>
    </row>
    <row r="684" spans="26:66" ht="16.2">
      <c r="Z684" s="196"/>
      <c r="BD684" s="197"/>
      <c r="BN684" s="197"/>
    </row>
    <row r="685" spans="26:66" ht="16.2">
      <c r="Z685" s="196"/>
      <c r="BD685" s="197"/>
      <c r="BN685" s="197"/>
    </row>
    <row r="686" spans="26:66" ht="16.2">
      <c r="Z686" s="196"/>
      <c r="BD686" s="197"/>
      <c r="BN686" s="197"/>
    </row>
    <row r="687" spans="26:66" ht="16.2">
      <c r="Z687" s="196"/>
      <c r="BD687" s="197"/>
      <c r="BN687" s="197"/>
    </row>
    <row r="688" spans="26:66" ht="16.2">
      <c r="Z688" s="196"/>
      <c r="BD688" s="197"/>
      <c r="BN688" s="197"/>
    </row>
    <row r="689" spans="26:66" ht="16.2">
      <c r="Z689" s="196"/>
      <c r="BD689" s="197"/>
      <c r="BN689" s="197"/>
    </row>
    <row r="690" spans="26:66" ht="16.2">
      <c r="Z690" s="196"/>
      <c r="BD690" s="197"/>
      <c r="BN690" s="197"/>
    </row>
    <row r="691" spans="26:66" ht="16.2">
      <c r="Z691" s="196"/>
      <c r="BD691" s="197"/>
      <c r="BN691" s="197"/>
    </row>
    <row r="692" spans="26:66" ht="16.2">
      <c r="Z692" s="196"/>
      <c r="BD692" s="197"/>
      <c r="BN692" s="197"/>
    </row>
    <row r="693" spans="26:66" ht="16.2">
      <c r="Z693" s="196"/>
      <c r="BD693" s="197"/>
      <c r="BN693" s="197"/>
    </row>
    <row r="694" spans="26:66" ht="16.2">
      <c r="Z694" s="196"/>
      <c r="BD694" s="197"/>
      <c r="BN694" s="197"/>
    </row>
    <row r="695" spans="26:66" ht="16.2">
      <c r="Z695" s="196"/>
      <c r="BD695" s="197"/>
      <c r="BN695" s="197"/>
    </row>
    <row r="696" spans="26:66" ht="16.2">
      <c r="Z696" s="196"/>
      <c r="BD696" s="197"/>
      <c r="BN696" s="197"/>
    </row>
    <row r="697" spans="26:66" ht="16.2">
      <c r="Z697" s="196"/>
      <c r="BD697" s="197"/>
      <c r="BN697" s="197"/>
    </row>
    <row r="698" spans="26:66" ht="16.2">
      <c r="Z698" s="196"/>
      <c r="BD698" s="197"/>
      <c r="BN698" s="197"/>
    </row>
    <row r="699" spans="26:66" ht="16.2">
      <c r="Z699" s="196"/>
      <c r="BD699" s="197"/>
      <c r="BN699" s="197"/>
    </row>
    <row r="700" spans="26:66" ht="16.2">
      <c r="Z700" s="196"/>
      <c r="BD700" s="197"/>
      <c r="BN700" s="197"/>
    </row>
    <row r="701" spans="26:66" ht="16.2">
      <c r="Z701" s="196"/>
      <c r="BD701" s="197"/>
      <c r="BN701" s="197"/>
    </row>
    <row r="702" spans="26:66" ht="16.2">
      <c r="Z702" s="196"/>
      <c r="BD702" s="197"/>
      <c r="BN702" s="197"/>
    </row>
    <row r="703" spans="26:66" ht="16.2">
      <c r="Z703" s="196"/>
      <c r="BD703" s="197"/>
      <c r="BN703" s="197"/>
    </row>
    <row r="704" spans="26:66" ht="16.2">
      <c r="Z704" s="196"/>
      <c r="BD704" s="197"/>
      <c r="BN704" s="197"/>
    </row>
    <row r="705" spans="26:66" ht="16.2">
      <c r="Z705" s="196"/>
      <c r="BD705" s="197"/>
      <c r="BN705" s="197"/>
    </row>
    <row r="706" spans="26:66" ht="16.2">
      <c r="Z706" s="196"/>
      <c r="BD706" s="197"/>
      <c r="BN706" s="197"/>
    </row>
    <row r="707" spans="26:66" ht="16.2">
      <c r="Z707" s="196"/>
      <c r="BD707" s="197"/>
      <c r="BN707" s="197"/>
    </row>
    <row r="708" spans="26:66" ht="16.2">
      <c r="Z708" s="196"/>
      <c r="BD708" s="197"/>
      <c r="BN708" s="197"/>
    </row>
    <row r="709" spans="26:66" ht="16.2">
      <c r="Z709" s="196"/>
      <c r="BD709" s="197"/>
      <c r="BN709" s="197"/>
    </row>
    <row r="710" spans="26:66" ht="16.2">
      <c r="Z710" s="196"/>
      <c r="BD710" s="197"/>
      <c r="BN710" s="197"/>
    </row>
    <row r="711" spans="26:66" ht="16.2">
      <c r="Z711" s="196"/>
      <c r="BD711" s="197"/>
      <c r="BN711" s="197"/>
    </row>
    <row r="712" spans="26:66" ht="16.2">
      <c r="Z712" s="196"/>
      <c r="BD712" s="197"/>
      <c r="BN712" s="197"/>
    </row>
    <row r="713" spans="26:66" ht="16.2">
      <c r="Z713" s="196"/>
      <c r="BD713" s="197"/>
      <c r="BN713" s="197"/>
    </row>
    <row r="714" spans="26:66" ht="16.2">
      <c r="Z714" s="196"/>
      <c r="BD714" s="197"/>
      <c r="BN714" s="197"/>
    </row>
    <row r="715" spans="26:66" ht="16.2">
      <c r="Z715" s="196"/>
      <c r="BD715" s="197"/>
      <c r="BN715" s="197"/>
    </row>
    <row r="716" spans="26:66" ht="16.2">
      <c r="Z716" s="196"/>
      <c r="BD716" s="197"/>
      <c r="BN716" s="197"/>
    </row>
    <row r="717" spans="26:66" ht="16.2">
      <c r="Z717" s="196"/>
      <c r="BD717" s="197"/>
      <c r="BN717" s="197"/>
    </row>
    <row r="718" spans="26:66" ht="16.2">
      <c r="Z718" s="196"/>
      <c r="BD718" s="197"/>
      <c r="BN718" s="197"/>
    </row>
    <row r="719" spans="26:66" ht="16.2">
      <c r="Z719" s="196"/>
      <c r="BD719" s="197"/>
      <c r="BN719" s="197"/>
    </row>
    <row r="720" spans="26:66" ht="16.2">
      <c r="Z720" s="196"/>
      <c r="BD720" s="197"/>
      <c r="BN720" s="197"/>
    </row>
    <row r="721" spans="26:66" ht="16.2">
      <c r="Z721" s="196"/>
      <c r="BD721" s="197"/>
      <c r="BN721" s="197"/>
    </row>
    <row r="722" spans="26:66" ht="16.2">
      <c r="Z722" s="196"/>
      <c r="BD722" s="197"/>
      <c r="BN722" s="197"/>
    </row>
    <row r="723" spans="26:66" ht="16.2">
      <c r="Z723" s="196"/>
      <c r="BD723" s="197"/>
      <c r="BN723" s="197"/>
    </row>
    <row r="724" spans="26:66" ht="16.2">
      <c r="Z724" s="196"/>
      <c r="BD724" s="197"/>
      <c r="BN724" s="197"/>
    </row>
    <row r="725" spans="26:66" ht="16.2">
      <c r="Z725" s="196"/>
      <c r="BD725" s="197"/>
      <c r="BN725" s="197"/>
    </row>
    <row r="726" spans="26:66" ht="16.2">
      <c r="Z726" s="196"/>
      <c r="BD726" s="197"/>
      <c r="BN726" s="197"/>
    </row>
    <row r="727" spans="26:66" ht="16.2">
      <c r="Z727" s="196"/>
      <c r="BD727" s="197"/>
      <c r="BN727" s="197"/>
    </row>
    <row r="728" spans="26:66" ht="16.2">
      <c r="Z728" s="196"/>
      <c r="BD728" s="197"/>
      <c r="BN728" s="197"/>
    </row>
    <row r="729" spans="26:66" ht="16.2">
      <c r="Z729" s="196"/>
      <c r="BD729" s="197"/>
      <c r="BN729" s="197"/>
    </row>
    <row r="730" spans="26:66" ht="16.2">
      <c r="Z730" s="196"/>
      <c r="BD730" s="197"/>
      <c r="BN730" s="197"/>
    </row>
    <row r="731" spans="26:66" ht="16.2">
      <c r="Z731" s="196"/>
      <c r="BD731" s="197"/>
      <c r="BN731" s="197"/>
    </row>
    <row r="732" spans="26:66" ht="16.2">
      <c r="Z732" s="196"/>
      <c r="BD732" s="197"/>
      <c r="BN732" s="197"/>
    </row>
    <row r="733" spans="26:66" ht="16.2">
      <c r="Z733" s="196"/>
      <c r="BD733" s="197"/>
      <c r="BN733" s="197"/>
    </row>
    <row r="734" spans="26:66" ht="16.2">
      <c r="Z734" s="196"/>
      <c r="BD734" s="197"/>
      <c r="BN734" s="197"/>
    </row>
    <row r="735" spans="26:66" ht="16.2">
      <c r="Z735" s="196"/>
      <c r="BD735" s="197"/>
      <c r="BN735" s="197"/>
    </row>
    <row r="736" spans="26:66" ht="16.2">
      <c r="Z736" s="196"/>
      <c r="BD736" s="197"/>
      <c r="BN736" s="197"/>
    </row>
    <row r="737" spans="26:66" ht="16.2">
      <c r="Z737" s="196"/>
      <c r="BD737" s="197"/>
      <c r="BN737" s="197"/>
    </row>
    <row r="738" spans="26:66" ht="16.2">
      <c r="Z738" s="196"/>
      <c r="BD738" s="197"/>
      <c r="BN738" s="197"/>
    </row>
    <row r="739" spans="26:66" ht="16.2">
      <c r="Z739" s="196"/>
      <c r="BD739" s="197"/>
      <c r="BN739" s="197"/>
    </row>
    <row r="740" spans="26:66" ht="16.2">
      <c r="Z740" s="196"/>
      <c r="BD740" s="197"/>
      <c r="BN740" s="197"/>
    </row>
    <row r="741" spans="26:66" ht="16.2">
      <c r="Z741" s="196"/>
      <c r="BD741" s="197"/>
      <c r="BN741" s="197"/>
    </row>
    <row r="742" spans="26:66" ht="16.2">
      <c r="Z742" s="196"/>
      <c r="BD742" s="197"/>
      <c r="BN742" s="197"/>
    </row>
    <row r="743" spans="26:66" ht="16.2">
      <c r="Z743" s="196"/>
      <c r="BD743" s="197"/>
      <c r="BN743" s="197"/>
    </row>
    <row r="744" spans="26:66" ht="16.2">
      <c r="Z744" s="196"/>
      <c r="BD744" s="197"/>
      <c r="BN744" s="197"/>
    </row>
    <row r="745" spans="26:66" ht="16.2">
      <c r="Z745" s="196"/>
      <c r="BD745" s="197"/>
      <c r="BN745" s="197"/>
    </row>
    <row r="746" spans="26:66" ht="16.2">
      <c r="Z746" s="196"/>
      <c r="BD746" s="197"/>
      <c r="BN746" s="197"/>
    </row>
    <row r="747" spans="26:66" ht="16.2">
      <c r="Z747" s="196"/>
      <c r="BD747" s="197"/>
      <c r="BN747" s="197"/>
    </row>
    <row r="748" spans="26:66" ht="16.2">
      <c r="Z748" s="196"/>
      <c r="BD748" s="197"/>
      <c r="BN748" s="197"/>
    </row>
    <row r="749" spans="26:66" ht="16.2">
      <c r="Z749" s="196"/>
      <c r="BD749" s="197"/>
      <c r="BN749" s="197"/>
    </row>
    <row r="750" spans="26:66" ht="16.2">
      <c r="Z750" s="196"/>
      <c r="BD750" s="197"/>
      <c r="BN750" s="197"/>
    </row>
    <row r="751" spans="26:66" ht="16.2">
      <c r="Z751" s="196"/>
      <c r="BD751" s="197"/>
      <c r="BN751" s="197"/>
    </row>
    <row r="752" spans="26:66" ht="16.2">
      <c r="Z752" s="196"/>
      <c r="BD752" s="197"/>
      <c r="BN752" s="197"/>
    </row>
    <row r="753" spans="26:66" ht="16.2">
      <c r="Z753" s="196"/>
      <c r="BD753" s="197"/>
      <c r="BN753" s="197"/>
    </row>
    <row r="754" spans="26:66" ht="16.2">
      <c r="Z754" s="196"/>
      <c r="BD754" s="197"/>
      <c r="BN754" s="197"/>
    </row>
    <row r="755" spans="26:66" ht="16.2">
      <c r="Z755" s="196"/>
      <c r="BD755" s="197"/>
      <c r="BN755" s="197"/>
    </row>
    <row r="756" spans="26:66" ht="16.2">
      <c r="Z756" s="196"/>
      <c r="BD756" s="197"/>
      <c r="BN756" s="197"/>
    </row>
    <row r="757" spans="26:66" ht="16.2">
      <c r="Z757" s="196"/>
      <c r="BD757" s="197"/>
      <c r="BN757" s="197"/>
    </row>
    <row r="758" spans="26:66" ht="16.2">
      <c r="Z758" s="196"/>
      <c r="BD758" s="197"/>
      <c r="BN758" s="197"/>
    </row>
    <row r="759" spans="26:66" ht="16.2">
      <c r="Z759" s="196"/>
      <c r="BD759" s="197"/>
      <c r="BN759" s="197"/>
    </row>
    <row r="760" spans="26:66" ht="16.2">
      <c r="Z760" s="196"/>
      <c r="BD760" s="197"/>
      <c r="BN760" s="197"/>
    </row>
    <row r="761" spans="26:66" ht="16.2">
      <c r="Z761" s="196"/>
      <c r="BD761" s="197"/>
      <c r="BN761" s="197"/>
    </row>
    <row r="762" spans="26:66" ht="16.2">
      <c r="Z762" s="196"/>
      <c r="BD762" s="197"/>
      <c r="BN762" s="197"/>
    </row>
    <row r="763" spans="26:66" ht="16.2">
      <c r="Z763" s="196"/>
      <c r="BD763" s="197"/>
      <c r="BN763" s="197"/>
    </row>
    <row r="764" spans="26:66" ht="16.2">
      <c r="Z764" s="196"/>
      <c r="BD764" s="197"/>
      <c r="BN764" s="197"/>
    </row>
    <row r="765" spans="26:66" ht="16.2">
      <c r="Z765" s="196"/>
      <c r="BD765" s="197"/>
      <c r="BN765" s="197"/>
    </row>
    <row r="766" spans="26:66" ht="16.2">
      <c r="Z766" s="196"/>
      <c r="BD766" s="197"/>
      <c r="BN766" s="197"/>
    </row>
    <row r="767" spans="26:66" ht="16.2">
      <c r="Z767" s="196"/>
      <c r="BD767" s="197"/>
      <c r="BN767" s="197"/>
    </row>
    <row r="768" spans="26:66" ht="16.2">
      <c r="Z768" s="196"/>
      <c r="BD768" s="197"/>
      <c r="BN768" s="197"/>
    </row>
    <row r="769" spans="26:66" ht="16.2">
      <c r="Z769" s="196"/>
      <c r="BD769" s="197"/>
      <c r="BN769" s="197"/>
    </row>
    <row r="770" spans="26:66" ht="16.2">
      <c r="Z770" s="196"/>
      <c r="BD770" s="197"/>
      <c r="BN770" s="197"/>
    </row>
    <row r="771" spans="26:66" ht="16.2">
      <c r="Z771" s="196"/>
      <c r="BD771" s="197"/>
      <c r="BN771" s="197"/>
    </row>
    <row r="772" spans="26:66" ht="16.2">
      <c r="Z772" s="196"/>
      <c r="BD772" s="197"/>
      <c r="BN772" s="197"/>
    </row>
    <row r="773" spans="26:66" ht="16.2">
      <c r="Z773" s="196"/>
      <c r="BD773" s="197"/>
      <c r="BN773" s="197"/>
    </row>
    <row r="774" spans="26:66" ht="16.2">
      <c r="Z774" s="196"/>
      <c r="BD774" s="197"/>
      <c r="BN774" s="197"/>
    </row>
    <row r="775" spans="26:66" ht="16.2">
      <c r="Z775" s="196"/>
      <c r="BD775" s="197"/>
      <c r="BN775" s="197"/>
    </row>
    <row r="776" spans="26:66" ht="16.2">
      <c r="Z776" s="196"/>
      <c r="BD776" s="197"/>
      <c r="BN776" s="197"/>
    </row>
    <row r="777" spans="26:66" ht="16.2">
      <c r="Z777" s="196"/>
      <c r="BD777" s="197"/>
      <c r="BN777" s="197"/>
    </row>
    <row r="778" spans="26:66" ht="16.2">
      <c r="Z778" s="196"/>
      <c r="BD778" s="197"/>
      <c r="BN778" s="197"/>
    </row>
    <row r="779" spans="26:66" ht="16.2">
      <c r="Z779" s="196"/>
      <c r="BD779" s="197"/>
      <c r="BN779" s="197"/>
    </row>
    <row r="780" spans="26:66" ht="16.2">
      <c r="Z780" s="196"/>
      <c r="BD780" s="197"/>
      <c r="BN780" s="197"/>
    </row>
    <row r="781" spans="26:66" ht="16.2">
      <c r="Z781" s="196"/>
      <c r="BD781" s="197"/>
      <c r="BN781" s="197"/>
    </row>
    <row r="782" spans="26:66" ht="16.2">
      <c r="Z782" s="196"/>
      <c r="BD782" s="197"/>
      <c r="BN782" s="197"/>
    </row>
    <row r="783" spans="26:66" ht="16.2">
      <c r="Z783" s="196"/>
      <c r="BD783" s="197"/>
      <c r="BN783" s="197"/>
    </row>
    <row r="784" spans="26:66" ht="16.2">
      <c r="Z784" s="196"/>
      <c r="BD784" s="197"/>
      <c r="BN784" s="197"/>
    </row>
    <row r="785" spans="26:66" ht="16.2">
      <c r="Z785" s="196"/>
      <c r="BD785" s="197"/>
      <c r="BN785" s="197"/>
    </row>
    <row r="786" spans="26:66" ht="16.2">
      <c r="Z786" s="196"/>
      <c r="BD786" s="197"/>
      <c r="BN786" s="197"/>
    </row>
    <row r="787" spans="26:66" ht="16.2">
      <c r="Z787" s="196"/>
      <c r="BD787" s="197"/>
      <c r="BN787" s="197"/>
    </row>
    <row r="788" spans="26:66" ht="16.2">
      <c r="Z788" s="196"/>
      <c r="BD788" s="197"/>
      <c r="BN788" s="197"/>
    </row>
    <row r="789" spans="26:66" ht="16.2">
      <c r="Z789" s="196"/>
      <c r="BD789" s="197"/>
      <c r="BN789" s="197"/>
    </row>
    <row r="790" spans="26:66" ht="16.2">
      <c r="Z790" s="196"/>
      <c r="BD790" s="197"/>
      <c r="BN790" s="197"/>
    </row>
    <row r="791" spans="26:66" ht="16.2">
      <c r="Z791" s="196"/>
      <c r="BD791" s="197"/>
      <c r="BN791" s="197"/>
    </row>
    <row r="792" spans="26:66" ht="16.2">
      <c r="Z792" s="196"/>
      <c r="BD792" s="197"/>
      <c r="BN792" s="197"/>
    </row>
    <row r="793" spans="26:66" ht="16.2">
      <c r="Z793" s="196"/>
      <c r="BD793" s="197"/>
      <c r="BN793" s="197"/>
    </row>
    <row r="794" spans="26:66" ht="16.2">
      <c r="Z794" s="196"/>
      <c r="BD794" s="197"/>
      <c r="BN794" s="197"/>
    </row>
    <row r="795" spans="26:66" ht="16.2">
      <c r="Z795" s="196"/>
      <c r="BD795" s="197"/>
      <c r="BN795" s="197"/>
    </row>
    <row r="796" spans="26:66" ht="16.2">
      <c r="Z796" s="196"/>
      <c r="BD796" s="197"/>
      <c r="BN796" s="197"/>
    </row>
    <row r="797" spans="26:66" ht="16.2">
      <c r="Z797" s="196"/>
      <c r="BD797" s="197"/>
      <c r="BN797" s="197"/>
    </row>
    <row r="798" spans="26:66" ht="16.2">
      <c r="Z798" s="196"/>
      <c r="BD798" s="197"/>
      <c r="BN798" s="197"/>
    </row>
    <row r="799" spans="26:66" ht="16.2">
      <c r="Z799" s="196"/>
      <c r="BD799" s="197"/>
      <c r="BN799" s="197"/>
    </row>
    <row r="800" spans="26:66" ht="16.2">
      <c r="Z800" s="196"/>
      <c r="BD800" s="197"/>
      <c r="BN800" s="197"/>
    </row>
    <row r="801" spans="26:66" ht="16.2">
      <c r="Z801" s="196"/>
      <c r="BD801" s="197"/>
      <c r="BN801" s="197"/>
    </row>
    <row r="802" spans="26:66" ht="16.2">
      <c r="Z802" s="196"/>
      <c r="BD802" s="197"/>
      <c r="BN802" s="197"/>
    </row>
    <row r="803" spans="26:66" ht="16.2">
      <c r="Z803" s="196"/>
      <c r="BD803" s="197"/>
      <c r="BN803" s="197"/>
    </row>
    <row r="804" spans="26:66" ht="16.2">
      <c r="Z804" s="196"/>
      <c r="BD804" s="197"/>
      <c r="BN804" s="197"/>
    </row>
    <row r="805" spans="26:66" ht="16.2">
      <c r="Z805" s="196"/>
      <c r="BD805" s="197"/>
      <c r="BN805" s="197"/>
    </row>
    <row r="806" spans="26:66" ht="16.2">
      <c r="Z806" s="196"/>
      <c r="BD806" s="197"/>
      <c r="BN806" s="197"/>
    </row>
    <row r="807" spans="26:66" ht="16.2">
      <c r="Z807" s="196"/>
      <c r="BD807" s="197"/>
      <c r="BN807" s="197"/>
    </row>
    <row r="808" spans="26:66" ht="16.2">
      <c r="Z808" s="196"/>
      <c r="BD808" s="197"/>
      <c r="BN808" s="197"/>
    </row>
    <row r="809" spans="26:66" ht="16.2">
      <c r="Z809" s="196"/>
      <c r="BD809" s="197"/>
      <c r="BN809" s="197"/>
    </row>
    <row r="810" spans="26:66" ht="16.2">
      <c r="Z810" s="196"/>
      <c r="BD810" s="197"/>
      <c r="BN810" s="197"/>
    </row>
    <row r="811" spans="26:66" ht="16.2">
      <c r="Z811" s="196"/>
      <c r="BD811" s="197"/>
      <c r="BN811" s="197"/>
    </row>
    <row r="812" spans="26:66" ht="16.2">
      <c r="Z812" s="196"/>
      <c r="BD812" s="197"/>
      <c r="BN812" s="197"/>
    </row>
    <row r="813" spans="26:66" ht="16.2">
      <c r="Z813" s="196"/>
      <c r="BD813" s="197"/>
      <c r="BN813" s="197"/>
    </row>
    <row r="814" spans="26:66" ht="16.2">
      <c r="Z814" s="196"/>
      <c r="BD814" s="197"/>
      <c r="BN814" s="197"/>
    </row>
    <row r="815" spans="26:66" ht="16.2">
      <c r="Z815" s="196"/>
      <c r="BD815" s="197"/>
      <c r="BN815" s="197"/>
    </row>
    <row r="816" spans="26:66" ht="16.2">
      <c r="Z816" s="196"/>
      <c r="BD816" s="197"/>
      <c r="BN816" s="197"/>
    </row>
    <row r="817" spans="26:66" ht="16.2">
      <c r="Z817" s="196"/>
      <c r="BD817" s="197"/>
      <c r="BN817" s="197"/>
    </row>
    <row r="818" spans="26:66" ht="16.2">
      <c r="Z818" s="196"/>
      <c r="BD818" s="197"/>
      <c r="BN818" s="197"/>
    </row>
    <row r="819" spans="26:66" ht="16.2">
      <c r="Z819" s="196"/>
      <c r="BD819" s="197"/>
      <c r="BN819" s="197"/>
    </row>
    <row r="820" spans="26:66" ht="16.2">
      <c r="Z820" s="196"/>
      <c r="BD820" s="197"/>
      <c r="BN820" s="197"/>
    </row>
    <row r="821" spans="26:66" ht="16.2">
      <c r="Z821" s="196"/>
      <c r="BD821" s="197"/>
      <c r="BN821" s="197"/>
    </row>
    <row r="822" spans="26:66" ht="16.2">
      <c r="Z822" s="196"/>
      <c r="BD822" s="197"/>
      <c r="BN822" s="197"/>
    </row>
    <row r="823" spans="26:66" ht="16.2">
      <c r="Z823" s="196"/>
      <c r="BD823" s="197"/>
      <c r="BN823" s="197"/>
    </row>
    <row r="824" spans="26:66" ht="16.2">
      <c r="Z824" s="196"/>
      <c r="BD824" s="197"/>
      <c r="BN824" s="197"/>
    </row>
    <row r="825" spans="26:66" ht="16.2">
      <c r="Z825" s="196"/>
      <c r="BD825" s="197"/>
      <c r="BN825" s="197"/>
    </row>
    <row r="826" spans="26:66" ht="16.2">
      <c r="Z826" s="196"/>
      <c r="BD826" s="197"/>
      <c r="BN826" s="197"/>
    </row>
    <row r="827" spans="26:66" ht="16.2">
      <c r="Z827" s="196"/>
      <c r="BD827" s="197"/>
      <c r="BN827" s="197"/>
    </row>
    <row r="828" spans="26:66" ht="16.2">
      <c r="Z828" s="196"/>
      <c r="BD828" s="197"/>
      <c r="BN828" s="197"/>
    </row>
    <row r="829" spans="26:66" ht="16.2">
      <c r="Z829" s="196"/>
      <c r="BD829" s="197"/>
      <c r="BN829" s="197"/>
    </row>
    <row r="830" spans="26:66" ht="16.2">
      <c r="Z830" s="196"/>
      <c r="BD830" s="197"/>
      <c r="BN830" s="197"/>
    </row>
    <row r="831" spans="26:66" ht="16.2">
      <c r="Z831" s="196"/>
      <c r="BD831" s="197"/>
      <c r="BN831" s="197"/>
    </row>
    <row r="832" spans="26:66" ht="16.2">
      <c r="Z832" s="196"/>
      <c r="BD832" s="197"/>
      <c r="BN832" s="197"/>
    </row>
    <row r="833" spans="26:66" ht="16.2">
      <c r="Z833" s="196"/>
      <c r="BD833" s="197"/>
      <c r="BN833" s="197"/>
    </row>
    <row r="834" spans="26:66" ht="16.2">
      <c r="Z834" s="196"/>
      <c r="BD834" s="197"/>
      <c r="BN834" s="197"/>
    </row>
    <row r="835" spans="26:66" ht="16.2">
      <c r="Z835" s="196"/>
      <c r="BD835" s="197"/>
      <c r="BN835" s="197"/>
    </row>
    <row r="836" spans="26:66" ht="16.2">
      <c r="Z836" s="196"/>
      <c r="BD836" s="197"/>
      <c r="BN836" s="197"/>
    </row>
    <row r="837" spans="26:66" ht="16.2">
      <c r="Z837" s="196"/>
      <c r="BD837" s="197"/>
      <c r="BN837" s="197"/>
    </row>
    <row r="838" spans="26:66" ht="16.2">
      <c r="Z838" s="196"/>
      <c r="BD838" s="197"/>
      <c r="BN838" s="197"/>
    </row>
    <row r="839" spans="26:66" ht="16.2">
      <c r="Z839" s="196"/>
      <c r="BD839" s="197"/>
      <c r="BN839" s="197"/>
    </row>
    <row r="840" spans="26:66" ht="16.2">
      <c r="Z840" s="196"/>
      <c r="BD840" s="197"/>
      <c r="BN840" s="197"/>
    </row>
    <row r="841" spans="26:66" ht="16.2">
      <c r="Z841" s="196"/>
      <c r="BD841" s="197"/>
      <c r="BN841" s="197"/>
    </row>
    <row r="842" spans="26:66" ht="16.2">
      <c r="Z842" s="196"/>
      <c r="BD842" s="197"/>
      <c r="BN842" s="197"/>
    </row>
    <row r="843" spans="26:66" ht="16.2">
      <c r="Z843" s="196"/>
      <c r="BD843" s="197"/>
      <c r="BN843" s="197"/>
    </row>
    <row r="844" spans="26:66" ht="16.2">
      <c r="Z844" s="196"/>
      <c r="BD844" s="197"/>
      <c r="BN844" s="197"/>
    </row>
    <row r="845" spans="26:66" ht="16.2">
      <c r="Z845" s="196"/>
      <c r="BD845" s="197"/>
      <c r="BN845" s="197"/>
    </row>
    <row r="846" spans="26:66" ht="16.2">
      <c r="Z846" s="196"/>
      <c r="BD846" s="197"/>
      <c r="BN846" s="197"/>
    </row>
    <row r="847" spans="26:66" ht="16.2">
      <c r="Z847" s="196"/>
      <c r="BD847" s="197"/>
      <c r="BN847" s="197"/>
    </row>
    <row r="848" spans="26:66" ht="16.2">
      <c r="Z848" s="196"/>
      <c r="BD848" s="197"/>
      <c r="BN848" s="197"/>
    </row>
    <row r="849" spans="26:66" ht="16.2">
      <c r="Z849" s="196"/>
      <c r="BD849" s="197"/>
      <c r="BN849" s="197"/>
    </row>
    <row r="850" spans="26:66" ht="16.2">
      <c r="Z850" s="196"/>
      <c r="BD850" s="197"/>
      <c r="BN850" s="197"/>
    </row>
    <row r="851" spans="26:66" ht="16.2">
      <c r="Z851" s="196"/>
      <c r="BD851" s="197"/>
      <c r="BN851" s="197"/>
    </row>
    <row r="852" spans="26:66" ht="16.2">
      <c r="Z852" s="196"/>
      <c r="BD852" s="197"/>
      <c r="BN852" s="197"/>
    </row>
    <row r="853" spans="26:66" ht="16.2">
      <c r="Z853" s="196"/>
      <c r="BD853" s="197"/>
      <c r="BN853" s="197"/>
    </row>
    <row r="854" spans="26:66" ht="16.2">
      <c r="Z854" s="196"/>
      <c r="BD854" s="197"/>
      <c r="BN854" s="197"/>
    </row>
    <row r="855" spans="26:66" ht="16.2">
      <c r="Z855" s="196"/>
      <c r="BD855" s="197"/>
      <c r="BN855" s="197"/>
    </row>
    <row r="856" spans="26:66" ht="16.2">
      <c r="Z856" s="196"/>
      <c r="BD856" s="197"/>
      <c r="BN856" s="197"/>
    </row>
    <row r="857" spans="26:66" ht="16.2">
      <c r="Z857" s="196"/>
      <c r="BD857" s="197"/>
      <c r="BN857" s="197"/>
    </row>
    <row r="858" spans="26:66" ht="16.2">
      <c r="Z858" s="196"/>
      <c r="BD858" s="197"/>
      <c r="BN858" s="197"/>
    </row>
    <row r="859" spans="26:66" ht="16.2">
      <c r="Z859" s="196"/>
      <c r="BD859" s="197"/>
      <c r="BN859" s="197"/>
    </row>
    <row r="860" spans="26:66" ht="16.2">
      <c r="Z860" s="196"/>
      <c r="BD860" s="197"/>
      <c r="BN860" s="197"/>
    </row>
    <row r="861" spans="26:66" ht="16.2">
      <c r="Z861" s="196"/>
      <c r="BD861" s="197"/>
      <c r="BN861" s="197"/>
    </row>
    <row r="862" spans="26:66" ht="16.2">
      <c r="Z862" s="196"/>
      <c r="BD862" s="197"/>
      <c r="BN862" s="197"/>
    </row>
    <row r="863" spans="26:66" ht="16.2">
      <c r="Z863" s="196"/>
      <c r="BD863" s="197"/>
      <c r="BN863" s="197"/>
    </row>
    <row r="864" spans="26:66" ht="16.2">
      <c r="Z864" s="196"/>
      <c r="BD864" s="197"/>
      <c r="BN864" s="197"/>
    </row>
    <row r="865" spans="26:66" ht="16.2">
      <c r="Z865" s="196"/>
      <c r="BD865" s="197"/>
      <c r="BN865" s="197"/>
    </row>
    <row r="866" spans="26:66" ht="16.2">
      <c r="Z866" s="196"/>
      <c r="BD866" s="197"/>
      <c r="BN866" s="197"/>
    </row>
    <row r="867" spans="26:66" ht="16.2">
      <c r="Z867" s="196"/>
      <c r="BD867" s="197"/>
      <c r="BN867" s="197"/>
    </row>
    <row r="868" spans="26:66" ht="16.2">
      <c r="Z868" s="196"/>
      <c r="BD868" s="197"/>
      <c r="BN868" s="197"/>
    </row>
    <row r="869" spans="26:66" ht="16.2">
      <c r="Z869" s="196"/>
      <c r="BD869" s="197"/>
      <c r="BN869" s="197"/>
    </row>
    <row r="870" spans="26:66" ht="16.2">
      <c r="Z870" s="196"/>
      <c r="BD870" s="197"/>
      <c r="BN870" s="197"/>
    </row>
    <row r="871" spans="26:66" ht="16.2">
      <c r="Z871" s="196"/>
      <c r="BD871" s="197"/>
      <c r="BN871" s="197"/>
    </row>
    <row r="872" spans="26:66" ht="16.2">
      <c r="Z872" s="196"/>
      <c r="BD872" s="197"/>
      <c r="BN872" s="197"/>
    </row>
    <row r="873" spans="26:66" ht="16.2">
      <c r="Z873" s="196"/>
      <c r="BD873" s="197"/>
      <c r="BN873" s="197"/>
    </row>
    <row r="874" spans="26:66" ht="16.2">
      <c r="Z874" s="196"/>
      <c r="BD874" s="197"/>
      <c r="BN874" s="197"/>
    </row>
    <row r="875" spans="26:66" ht="16.2">
      <c r="Z875" s="196"/>
      <c r="BD875" s="197"/>
      <c r="BN875" s="197"/>
    </row>
    <row r="876" spans="26:66" ht="16.2">
      <c r="Z876" s="196"/>
      <c r="BD876" s="197"/>
      <c r="BN876" s="197"/>
    </row>
    <row r="877" spans="26:66" ht="16.2">
      <c r="Z877" s="196"/>
      <c r="BD877" s="197"/>
      <c r="BN877" s="197"/>
    </row>
    <row r="878" spans="26:66" ht="16.2">
      <c r="Z878" s="196"/>
      <c r="BD878" s="197"/>
      <c r="BN878" s="197"/>
    </row>
    <row r="879" spans="26:66" ht="16.2">
      <c r="Z879" s="196"/>
      <c r="BD879" s="197"/>
      <c r="BN879" s="197"/>
    </row>
    <row r="880" spans="26:66" ht="16.2">
      <c r="Z880" s="196"/>
      <c r="BD880" s="197"/>
      <c r="BN880" s="197"/>
    </row>
    <row r="881" spans="26:66" ht="16.2">
      <c r="Z881" s="196"/>
      <c r="BD881" s="197"/>
      <c r="BN881" s="197"/>
    </row>
    <row r="882" spans="26:66" ht="16.2">
      <c r="Z882" s="196"/>
      <c r="BD882" s="197"/>
      <c r="BN882" s="197"/>
    </row>
    <row r="883" spans="26:66" ht="16.2">
      <c r="Z883" s="196"/>
      <c r="BD883" s="197"/>
      <c r="BN883" s="197"/>
    </row>
    <row r="884" spans="26:66" ht="16.2">
      <c r="Z884" s="196"/>
      <c r="BD884" s="197"/>
      <c r="BN884" s="197"/>
    </row>
    <row r="885" spans="26:66" ht="16.2">
      <c r="Z885" s="196"/>
      <c r="BD885" s="197"/>
      <c r="BN885" s="197"/>
    </row>
    <row r="886" spans="26:66" ht="16.2">
      <c r="Z886" s="196"/>
      <c r="BD886" s="197"/>
      <c r="BN886" s="197"/>
    </row>
    <row r="887" spans="26:66" ht="16.2">
      <c r="Z887" s="196"/>
      <c r="BD887" s="197"/>
      <c r="BN887" s="197"/>
    </row>
    <row r="888" spans="26:66" ht="16.2">
      <c r="Z888" s="196"/>
      <c r="BD888" s="197"/>
      <c r="BN888" s="197"/>
    </row>
    <row r="889" spans="26:66" ht="16.2">
      <c r="Z889" s="196"/>
      <c r="BD889" s="197"/>
      <c r="BN889" s="197"/>
    </row>
    <row r="890" spans="26:66" ht="16.2">
      <c r="Z890" s="196"/>
      <c r="BD890" s="197"/>
      <c r="BN890" s="197"/>
    </row>
    <row r="891" spans="26:66" ht="16.2">
      <c r="Z891" s="196"/>
      <c r="BD891" s="197"/>
      <c r="BN891" s="197"/>
    </row>
    <row r="892" spans="26:66" ht="16.2">
      <c r="Z892" s="196"/>
      <c r="BD892" s="197"/>
      <c r="BN892" s="197"/>
    </row>
    <row r="893" spans="26:66" ht="16.2">
      <c r="Z893" s="196"/>
      <c r="BD893" s="197"/>
      <c r="BN893" s="197"/>
    </row>
    <row r="894" spans="26:66" ht="16.2">
      <c r="Z894" s="196"/>
      <c r="BD894" s="197"/>
      <c r="BN894" s="197"/>
    </row>
    <row r="895" spans="26:66" ht="16.2">
      <c r="Z895" s="196"/>
      <c r="BD895" s="197"/>
      <c r="BN895" s="197"/>
    </row>
    <row r="896" spans="26:66" ht="16.2">
      <c r="Z896" s="196"/>
      <c r="BD896" s="197"/>
      <c r="BN896" s="197"/>
    </row>
    <row r="897" spans="26:66" ht="16.2">
      <c r="Z897" s="196"/>
      <c r="BD897" s="197"/>
      <c r="BN897" s="197"/>
    </row>
    <row r="898" spans="26:66" ht="16.2">
      <c r="Z898" s="196"/>
      <c r="BD898" s="197"/>
      <c r="BN898" s="197"/>
    </row>
    <row r="899" spans="26:66" ht="16.2">
      <c r="Z899" s="196"/>
      <c r="BD899" s="197"/>
      <c r="BN899" s="197"/>
    </row>
    <row r="900" spans="26:66" ht="16.2">
      <c r="Z900" s="196"/>
      <c r="BD900" s="197"/>
      <c r="BN900" s="197"/>
    </row>
    <row r="901" spans="26:66" ht="16.2">
      <c r="Z901" s="196"/>
      <c r="BD901" s="197"/>
      <c r="BN901" s="197"/>
    </row>
    <row r="902" spans="26:66" ht="16.2">
      <c r="Z902" s="196"/>
      <c r="BD902" s="197"/>
      <c r="BN902" s="197"/>
    </row>
    <row r="903" spans="26:66" ht="16.2">
      <c r="Z903" s="196"/>
      <c r="BD903" s="197"/>
      <c r="BN903" s="197"/>
    </row>
    <row r="904" spans="26:66" ht="16.2">
      <c r="Z904" s="196"/>
      <c r="BD904" s="197"/>
      <c r="BN904" s="197"/>
    </row>
    <row r="905" spans="26:66" ht="16.2">
      <c r="Z905" s="196"/>
      <c r="BD905" s="197"/>
      <c r="BN905" s="197"/>
    </row>
    <row r="906" spans="26:66" ht="16.2">
      <c r="Z906" s="196"/>
      <c r="BD906" s="197"/>
      <c r="BN906" s="197"/>
    </row>
    <row r="907" spans="26:66" ht="16.2">
      <c r="Z907" s="196"/>
      <c r="BD907" s="197"/>
      <c r="BN907" s="197"/>
    </row>
    <row r="908" spans="26:66" ht="16.2">
      <c r="Z908" s="196"/>
      <c r="BD908" s="197"/>
      <c r="BN908" s="197"/>
    </row>
    <row r="909" spans="26:66" ht="16.2">
      <c r="Z909" s="196"/>
      <c r="BD909" s="197"/>
      <c r="BN909" s="197"/>
    </row>
    <row r="910" spans="26:66" ht="16.2">
      <c r="Z910" s="196"/>
      <c r="BD910" s="197"/>
      <c r="BN910" s="197"/>
    </row>
    <row r="911" spans="26:66" ht="16.2">
      <c r="Z911" s="196"/>
      <c r="BD911" s="197"/>
      <c r="BN911" s="197"/>
    </row>
    <row r="912" spans="26:66" ht="16.2">
      <c r="Z912" s="196"/>
      <c r="BD912" s="197"/>
      <c r="BN912" s="197"/>
    </row>
    <row r="913" spans="26:66" ht="16.2">
      <c r="Z913" s="196"/>
      <c r="BD913" s="197"/>
      <c r="BN913" s="197"/>
    </row>
    <row r="914" spans="26:66" ht="16.2">
      <c r="Z914" s="196"/>
      <c r="BD914" s="197"/>
      <c r="BN914" s="197"/>
    </row>
    <row r="915" spans="26:66" ht="16.2">
      <c r="Z915" s="196"/>
      <c r="BD915" s="197"/>
      <c r="BN915" s="197"/>
    </row>
    <row r="916" spans="26:66" ht="16.2">
      <c r="Z916" s="196"/>
      <c r="BD916" s="197"/>
      <c r="BN916" s="197"/>
    </row>
    <row r="917" spans="26:66" ht="16.2">
      <c r="Z917" s="196"/>
      <c r="BD917" s="197"/>
      <c r="BN917" s="197"/>
    </row>
    <row r="918" spans="26:66" ht="16.2">
      <c r="Z918" s="196"/>
      <c r="BD918" s="197"/>
      <c r="BN918" s="197"/>
    </row>
    <row r="919" spans="26:66" ht="16.2">
      <c r="Z919" s="196"/>
      <c r="BD919" s="197"/>
      <c r="BN919" s="197"/>
    </row>
    <row r="920" spans="26:66" ht="16.2">
      <c r="Z920" s="196"/>
      <c r="BD920" s="197"/>
      <c r="BN920" s="197"/>
    </row>
    <row r="921" spans="26:66" ht="16.2">
      <c r="Z921" s="196"/>
      <c r="BD921" s="197"/>
      <c r="BN921" s="197"/>
    </row>
    <row r="922" spans="26:66" ht="16.2">
      <c r="Z922" s="196"/>
      <c r="BD922" s="197"/>
      <c r="BN922" s="197"/>
    </row>
    <row r="923" spans="26:66" ht="16.2">
      <c r="Z923" s="196"/>
      <c r="BD923" s="197"/>
      <c r="BN923" s="197"/>
    </row>
    <row r="924" spans="26:66" ht="16.2">
      <c r="Z924" s="196"/>
      <c r="BD924" s="197"/>
      <c r="BN924" s="197"/>
    </row>
    <row r="925" spans="26:66" ht="16.2">
      <c r="Z925" s="196"/>
      <c r="BD925" s="197"/>
      <c r="BN925" s="197"/>
    </row>
    <row r="926" spans="26:66" ht="16.2">
      <c r="Z926" s="196"/>
      <c r="BD926" s="197"/>
      <c r="BN926" s="197"/>
    </row>
    <row r="927" spans="26:66" ht="16.2">
      <c r="Z927" s="196"/>
      <c r="BD927" s="197"/>
      <c r="BN927" s="197"/>
    </row>
    <row r="928" spans="26:66" ht="16.2">
      <c r="Z928" s="196"/>
      <c r="BD928" s="197"/>
      <c r="BN928" s="197"/>
    </row>
    <row r="929" spans="26:66" ht="16.2">
      <c r="Z929" s="196"/>
      <c r="BD929" s="197"/>
      <c r="BN929" s="197"/>
    </row>
    <row r="930" spans="26:66" ht="16.2">
      <c r="Z930" s="196"/>
      <c r="BD930" s="197"/>
      <c r="BN930" s="197"/>
    </row>
    <row r="931" spans="26:66" ht="16.2">
      <c r="Z931" s="196"/>
      <c r="BD931" s="197"/>
      <c r="BN931" s="197"/>
    </row>
    <row r="932" spans="26:66" ht="16.2">
      <c r="Z932" s="196"/>
      <c r="BD932" s="197"/>
      <c r="BN932" s="197"/>
    </row>
    <row r="933" spans="26:66" ht="16.2">
      <c r="Z933" s="196"/>
      <c r="BD933" s="197"/>
      <c r="BN933" s="197"/>
    </row>
    <row r="934" spans="26:66" ht="16.2">
      <c r="Z934" s="196"/>
      <c r="BD934" s="197"/>
      <c r="BN934" s="197"/>
    </row>
    <row r="935" spans="26:66" ht="16.2">
      <c r="Z935" s="196"/>
      <c r="BD935" s="197"/>
      <c r="BN935" s="197"/>
    </row>
    <row r="936" spans="26:66" ht="16.2">
      <c r="Z936" s="196"/>
      <c r="BD936" s="197"/>
      <c r="BN936" s="197"/>
    </row>
    <row r="937" spans="26:66" ht="16.2">
      <c r="Z937" s="196"/>
      <c r="BD937" s="197"/>
      <c r="BN937" s="197"/>
    </row>
    <row r="938" spans="26:66" ht="16.2">
      <c r="Z938" s="196"/>
      <c r="BD938" s="197"/>
      <c r="BN938" s="197"/>
    </row>
    <row r="939" spans="26:66" ht="16.2">
      <c r="Z939" s="196"/>
      <c r="BD939" s="197"/>
      <c r="BN939" s="197"/>
    </row>
    <row r="940" spans="26:66" ht="16.2">
      <c r="Z940" s="196"/>
      <c r="BD940" s="197"/>
      <c r="BN940" s="197"/>
    </row>
    <row r="941" spans="26:66" ht="16.2">
      <c r="Z941" s="196"/>
      <c r="BD941" s="197"/>
      <c r="BN941" s="197"/>
    </row>
    <row r="942" spans="26:66" ht="16.2">
      <c r="Z942" s="196"/>
      <c r="BD942" s="197"/>
      <c r="BN942" s="197"/>
    </row>
    <row r="943" spans="26:66" ht="16.2">
      <c r="Z943" s="196"/>
      <c r="BD943" s="197"/>
      <c r="BN943" s="197"/>
    </row>
    <row r="944" spans="26:66" ht="16.2">
      <c r="Z944" s="196"/>
      <c r="BD944" s="197"/>
      <c r="BN944" s="197"/>
    </row>
    <row r="945" spans="26:66" ht="16.2">
      <c r="Z945" s="196"/>
      <c r="BD945" s="197"/>
      <c r="BN945" s="197"/>
    </row>
    <row r="946" spans="26:66" ht="16.2">
      <c r="Z946" s="196"/>
      <c r="BD946" s="197"/>
      <c r="BN946" s="197"/>
    </row>
    <row r="947" spans="26:66" ht="16.2">
      <c r="Z947" s="196"/>
      <c r="BD947" s="197"/>
      <c r="BN947" s="197"/>
    </row>
    <row r="948" spans="26:66" ht="16.2">
      <c r="Z948" s="196"/>
      <c r="BD948" s="197"/>
      <c r="BN948" s="197"/>
    </row>
    <row r="949" spans="26:66" ht="16.2">
      <c r="Z949" s="196"/>
      <c r="BD949" s="197"/>
      <c r="BN949" s="197"/>
    </row>
    <row r="950" spans="26:66" ht="16.2">
      <c r="Z950" s="196"/>
      <c r="BD950" s="197"/>
      <c r="BN950" s="197"/>
    </row>
    <row r="951" spans="26:66" ht="16.2">
      <c r="Z951" s="196"/>
      <c r="BD951" s="197"/>
      <c r="BN951" s="197"/>
    </row>
    <row r="952" spans="26:66" ht="16.2">
      <c r="Z952" s="196"/>
      <c r="BD952" s="197"/>
      <c r="BN952" s="197"/>
    </row>
    <row r="953" spans="26:66" ht="16.2">
      <c r="Z953" s="196"/>
      <c r="BD953" s="197"/>
      <c r="BN953" s="197"/>
    </row>
    <row r="954" spans="26:66" ht="16.2">
      <c r="Z954" s="196"/>
      <c r="BD954" s="197"/>
      <c r="BN954" s="197"/>
    </row>
    <row r="955" spans="26:66" ht="16.2">
      <c r="Z955" s="196"/>
      <c r="BD955" s="197"/>
      <c r="BN955" s="197"/>
    </row>
    <row r="956" spans="26:66" ht="16.2">
      <c r="Z956" s="196"/>
      <c r="BD956" s="197"/>
      <c r="BN956" s="197"/>
    </row>
    <row r="957" spans="26:66" ht="16.2">
      <c r="Z957" s="196"/>
      <c r="BD957" s="197"/>
      <c r="BN957" s="197"/>
    </row>
    <row r="958" spans="26:66" ht="16.2">
      <c r="Z958" s="196"/>
      <c r="BD958" s="197"/>
      <c r="BN958" s="197"/>
    </row>
    <row r="959" spans="26:66" ht="16.2">
      <c r="Z959" s="196"/>
      <c r="BD959" s="197"/>
      <c r="BN959" s="197"/>
    </row>
    <row r="960" spans="26:66" ht="16.2">
      <c r="Z960" s="196"/>
      <c r="BD960" s="197"/>
      <c r="BN960" s="197"/>
    </row>
    <row r="961" spans="26:66" ht="16.2">
      <c r="Z961" s="196"/>
      <c r="BD961" s="197"/>
      <c r="BN961" s="197"/>
    </row>
    <row r="962" spans="26:66" ht="16.2">
      <c r="Z962" s="196"/>
      <c r="BD962" s="197"/>
      <c r="BN962" s="197"/>
    </row>
    <row r="963" spans="26:66" ht="16.2">
      <c r="Z963" s="196"/>
      <c r="BD963" s="197"/>
      <c r="BN963" s="197"/>
    </row>
    <row r="964" spans="26:66" ht="16.2">
      <c r="Z964" s="196"/>
      <c r="BD964" s="197"/>
      <c r="BN964" s="197"/>
    </row>
    <row r="965" spans="26:66" ht="16.2">
      <c r="Z965" s="196"/>
      <c r="BD965" s="197"/>
      <c r="BN965" s="197"/>
    </row>
    <row r="966" spans="26:66" ht="16.2">
      <c r="Z966" s="196"/>
      <c r="BD966" s="197"/>
      <c r="BN966" s="197"/>
    </row>
    <row r="967" spans="26:66" ht="16.2">
      <c r="Z967" s="196"/>
      <c r="BD967" s="197"/>
      <c r="BN967" s="197"/>
    </row>
    <row r="968" spans="26:66" ht="16.2">
      <c r="Z968" s="196"/>
      <c r="BD968" s="197"/>
      <c r="BN968" s="197"/>
    </row>
    <row r="969" spans="26:66" ht="16.2">
      <c r="Z969" s="196"/>
      <c r="BD969" s="197"/>
      <c r="BN969" s="197"/>
    </row>
    <row r="970" spans="26:66" ht="16.2">
      <c r="Z970" s="196"/>
      <c r="BD970" s="197"/>
      <c r="BN970" s="197"/>
    </row>
    <row r="971" spans="26:66" ht="16.2">
      <c r="Z971" s="196"/>
      <c r="BD971" s="197"/>
      <c r="BN971" s="197"/>
    </row>
    <row r="972" spans="26:66" ht="16.2">
      <c r="Z972" s="196"/>
      <c r="BD972" s="197"/>
      <c r="BN972" s="197"/>
    </row>
    <row r="973" spans="26:66" ht="16.2">
      <c r="Z973" s="196"/>
      <c r="BD973" s="197"/>
      <c r="BN973" s="197"/>
    </row>
    <row r="974" spans="26:66" ht="16.2">
      <c r="Z974" s="196"/>
      <c r="BD974" s="197"/>
      <c r="BN974" s="197"/>
    </row>
    <row r="975" spans="26:66" ht="16.2">
      <c r="Z975" s="196"/>
      <c r="BD975" s="197"/>
      <c r="BN975" s="197"/>
    </row>
    <row r="976" spans="26:66" ht="16.2">
      <c r="Z976" s="196"/>
      <c r="BD976" s="197"/>
      <c r="BN976" s="197"/>
    </row>
    <row r="977" spans="26:66" ht="16.2">
      <c r="Z977" s="196"/>
      <c r="BD977" s="197"/>
      <c r="BN977" s="197"/>
    </row>
    <row r="978" spans="26:66" ht="16.2">
      <c r="Z978" s="196"/>
      <c r="BD978" s="197"/>
      <c r="BN978" s="197"/>
    </row>
    <row r="979" spans="26:66" ht="16.2">
      <c r="Z979" s="196"/>
      <c r="BD979" s="197"/>
      <c r="BN979" s="197"/>
    </row>
    <row r="980" spans="26:66" ht="16.2">
      <c r="Z980" s="196"/>
      <c r="BD980" s="197"/>
      <c r="BN980" s="197"/>
    </row>
    <row r="981" spans="26:66" ht="16.2">
      <c r="Z981" s="196"/>
      <c r="BD981" s="197"/>
      <c r="BN981" s="197"/>
    </row>
    <row r="982" spans="26:66" ht="16.2">
      <c r="Z982" s="196"/>
      <c r="BD982" s="197"/>
      <c r="BN982" s="197"/>
    </row>
    <row r="983" spans="26:66" ht="16.2">
      <c r="Z983" s="196"/>
      <c r="BD983" s="197"/>
      <c r="BN983" s="197"/>
    </row>
    <row r="984" spans="26:66" ht="16.2">
      <c r="Z984" s="196"/>
      <c r="BD984" s="197"/>
      <c r="BN984" s="197"/>
    </row>
    <row r="985" spans="26:66" ht="16.2">
      <c r="Z985" s="196"/>
      <c r="BD985" s="197"/>
      <c r="BN985" s="197"/>
    </row>
    <row r="986" spans="26:66" ht="16.2">
      <c r="Z986" s="196"/>
      <c r="BD986" s="197"/>
      <c r="BN986" s="197"/>
    </row>
    <row r="987" spans="26:66" ht="16.2">
      <c r="Z987" s="196"/>
      <c r="BD987" s="197"/>
      <c r="BN987" s="197"/>
    </row>
    <row r="988" spans="26:66" ht="16.2">
      <c r="Z988" s="196"/>
      <c r="BD988" s="197"/>
      <c r="BN988" s="197"/>
    </row>
    <row r="989" spans="26:66" ht="16.2">
      <c r="Z989" s="196"/>
      <c r="BD989" s="197"/>
      <c r="BN989" s="197"/>
    </row>
    <row r="990" spans="26:66" ht="16.2">
      <c r="Z990" s="196"/>
      <c r="BD990" s="197"/>
      <c r="BN990" s="197"/>
    </row>
    <row r="991" spans="26:66" ht="16.2">
      <c r="Z991" s="196"/>
      <c r="BD991" s="197"/>
      <c r="BN991" s="197"/>
    </row>
    <row r="992" spans="26:66" ht="16.2">
      <c r="Z992" s="196"/>
      <c r="BD992" s="197"/>
      <c r="BN992" s="197"/>
    </row>
    <row r="993" spans="26:66" ht="16.2">
      <c r="Z993" s="196"/>
      <c r="BD993" s="197"/>
      <c r="BN993" s="197"/>
    </row>
    <row r="994" spans="26:66" ht="16.2">
      <c r="Z994" s="196"/>
      <c r="BD994" s="197"/>
      <c r="BN994" s="197"/>
    </row>
    <row r="995" spans="26:66" ht="16.2">
      <c r="Z995" s="196"/>
      <c r="BD995" s="197"/>
      <c r="BN995" s="197"/>
    </row>
    <row r="996" spans="26:66" ht="16.2">
      <c r="Z996" s="196"/>
      <c r="BD996" s="197"/>
      <c r="BN996" s="197"/>
    </row>
    <row r="997" spans="26:66" ht="16.2">
      <c r="Z997" s="196"/>
      <c r="BD997" s="197"/>
      <c r="BN997" s="197"/>
    </row>
    <row r="998" spans="26:66" ht="16.2">
      <c r="Z998" s="196"/>
      <c r="BD998" s="197"/>
      <c r="BN998" s="197"/>
    </row>
    <row r="999" spans="26:66" ht="16.2">
      <c r="Z999" s="196"/>
      <c r="BD999" s="197"/>
      <c r="BN999" s="197"/>
    </row>
    <row r="1000" spans="26:66" ht="16.2">
      <c r="Z1000" s="196"/>
      <c r="BD1000" s="197"/>
      <c r="BN1000" s="197"/>
    </row>
    <row r="1001" spans="26:66" ht="16.2">
      <c r="Z1001" s="196"/>
      <c r="BD1001" s="197"/>
      <c r="BN1001" s="197"/>
    </row>
    <row r="1002" spans="26:66" ht="16.2">
      <c r="Z1002" s="196"/>
      <c r="BD1002" s="197"/>
      <c r="BN1002" s="197"/>
    </row>
    <row r="1003" spans="26:66" ht="16.2">
      <c r="Z1003" s="196"/>
      <c r="BD1003" s="197"/>
      <c r="BN1003" s="197"/>
    </row>
    <row r="1004" spans="26:66" ht="16.2">
      <c r="Z1004" s="196"/>
      <c r="BD1004" s="197"/>
      <c r="BN1004" s="197"/>
    </row>
    <row r="1005" spans="26:66" ht="16.2">
      <c r="Z1005" s="196"/>
      <c r="BD1005" s="197"/>
      <c r="BN1005" s="197"/>
    </row>
    <row r="1006" spans="26:66" ht="16.2">
      <c r="Z1006" s="196"/>
      <c r="BD1006" s="197"/>
      <c r="BN1006" s="197"/>
    </row>
    <row r="1007" spans="26:66" ht="16.2">
      <c r="Z1007" s="196"/>
      <c r="BD1007" s="197"/>
      <c r="BN1007" s="197"/>
    </row>
    <row r="1008" spans="26:66" ht="16.2">
      <c r="Z1008" s="196"/>
      <c r="BD1008" s="197"/>
      <c r="BN1008" s="197"/>
    </row>
    <row r="1009" spans="26:66" ht="16.2">
      <c r="Z1009" s="196"/>
      <c r="BD1009" s="197"/>
      <c r="BN1009" s="197"/>
    </row>
    <row r="1010" spans="26:66" ht="16.2">
      <c r="Z1010" s="196"/>
      <c r="BD1010" s="197"/>
      <c r="BN1010" s="197"/>
    </row>
    <row r="1011" spans="26:66" ht="16.2">
      <c r="Z1011" s="196"/>
      <c r="BD1011" s="197"/>
      <c r="BN1011" s="197"/>
    </row>
    <row r="1012" spans="26:66" ht="16.2">
      <c r="Z1012" s="196"/>
      <c r="BD1012" s="197"/>
      <c r="BN1012" s="197"/>
    </row>
    <row r="1013" spans="26:66" ht="16.2">
      <c r="Z1013" s="196"/>
      <c r="BD1013" s="197"/>
      <c r="BN1013" s="197"/>
    </row>
    <row r="1014" spans="26:66" ht="16.2">
      <c r="Z1014" s="196"/>
      <c r="BD1014" s="197"/>
      <c r="BN1014" s="197"/>
    </row>
    <row r="1015" spans="26:66" ht="16.2">
      <c r="Z1015" s="196"/>
      <c r="BD1015" s="197"/>
      <c r="BN1015" s="197"/>
    </row>
    <row r="1016" spans="26:66" ht="16.2">
      <c r="Z1016" s="196"/>
      <c r="BD1016" s="197"/>
      <c r="BN1016" s="197"/>
    </row>
    <row r="1017" spans="26:66" ht="16.2">
      <c r="Z1017" s="196"/>
      <c r="BD1017" s="197"/>
      <c r="BN1017" s="197"/>
    </row>
    <row r="1018" spans="26:66" ht="16.2">
      <c r="Z1018" s="196"/>
      <c r="BD1018" s="197"/>
      <c r="BN1018" s="197"/>
    </row>
    <row r="1019" spans="26:66" ht="16.2">
      <c r="Z1019" s="196"/>
      <c r="BD1019" s="197"/>
      <c r="BN1019" s="197"/>
    </row>
    <row r="1020" spans="26:66" ht="16.2">
      <c r="Z1020" s="196"/>
      <c r="BD1020" s="197"/>
      <c r="BN1020" s="197"/>
    </row>
    <row r="1021" spans="26:66" ht="16.2">
      <c r="Z1021" s="196"/>
      <c r="BD1021" s="197"/>
      <c r="BN1021" s="197"/>
    </row>
    <row r="1022" spans="26:66" ht="16.2">
      <c r="Z1022" s="196"/>
      <c r="BD1022" s="197"/>
      <c r="BN1022" s="197"/>
    </row>
    <row r="1023" spans="26:66" ht="16.2">
      <c r="Z1023" s="196"/>
      <c r="BD1023" s="197"/>
      <c r="BN1023" s="197"/>
    </row>
    <row r="1024" spans="26:66" ht="16.2">
      <c r="Z1024" s="196"/>
      <c r="BD1024" s="197"/>
      <c r="BN1024" s="197"/>
    </row>
    <row r="1025" spans="26:66" ht="16.2">
      <c r="Z1025" s="196"/>
      <c r="BD1025" s="197"/>
      <c r="BN1025" s="197"/>
    </row>
    <row r="1026" spans="26:66" ht="16.2">
      <c r="Z1026" s="196"/>
      <c r="BD1026" s="197"/>
      <c r="BN1026" s="197"/>
    </row>
    <row r="1027" spans="26:66" ht="16.2">
      <c r="Z1027" s="196"/>
      <c r="BD1027" s="197"/>
      <c r="BN1027" s="197"/>
    </row>
    <row r="1028" spans="26:66" ht="16.2">
      <c r="Z1028" s="196"/>
      <c r="BD1028" s="197"/>
      <c r="BN1028" s="197"/>
    </row>
    <row r="1029" spans="26:66" ht="16.2">
      <c r="Z1029" s="196"/>
      <c r="BD1029" s="197"/>
      <c r="BN1029" s="197"/>
    </row>
    <row r="1030" spans="26:66" ht="16.2">
      <c r="Z1030" s="196"/>
      <c r="BD1030" s="197"/>
      <c r="BN1030" s="197"/>
    </row>
    <row r="1031" spans="26:66" ht="16.2">
      <c r="Z1031" s="196"/>
      <c r="BD1031" s="197"/>
      <c r="BN1031" s="197"/>
    </row>
    <row r="1032" spans="26:66" ht="16.2">
      <c r="Z1032" s="196"/>
      <c r="BD1032" s="197"/>
      <c r="BN1032" s="197"/>
    </row>
    <row r="1033" spans="26:66" ht="16.2">
      <c r="Z1033" s="196"/>
      <c r="BD1033" s="197"/>
      <c r="BN1033" s="197"/>
    </row>
    <row r="1034" spans="26:66" ht="16.2">
      <c r="Z1034" s="196"/>
      <c r="BD1034" s="197"/>
      <c r="BN1034" s="197"/>
    </row>
    <row r="1035" spans="26:66" ht="16.2">
      <c r="Z1035" s="196"/>
      <c r="BD1035" s="197"/>
      <c r="BN1035" s="197"/>
    </row>
    <row r="1036" spans="26:66" ht="16.2">
      <c r="Z1036" s="196"/>
      <c r="BD1036" s="197"/>
      <c r="BN1036" s="197"/>
    </row>
    <row r="1037" spans="26:66" ht="16.2">
      <c r="Z1037" s="196"/>
      <c r="BD1037" s="197"/>
      <c r="BN1037" s="197"/>
    </row>
    <row r="1038" spans="26:66" ht="16.2">
      <c r="Z1038" s="196"/>
      <c r="BD1038" s="197"/>
      <c r="BN1038" s="197"/>
    </row>
    <row r="1039" spans="26:66" ht="16.2">
      <c r="Z1039" s="196"/>
      <c r="BD1039" s="197"/>
      <c r="BN1039" s="197"/>
    </row>
    <row r="1040" spans="26:66" ht="16.2">
      <c r="Z1040" s="196"/>
      <c r="BD1040" s="197"/>
      <c r="BN1040" s="197"/>
    </row>
    <row r="1041" spans="26:66" ht="16.2">
      <c r="Z1041" s="196"/>
      <c r="BD1041" s="197"/>
      <c r="BN1041" s="197"/>
    </row>
    <row r="1042" spans="26:66" ht="16.2">
      <c r="Z1042" s="196"/>
      <c r="BD1042" s="197"/>
      <c r="BN1042" s="197"/>
    </row>
    <row r="1043" spans="26:66" ht="16.2">
      <c r="Z1043" s="196"/>
      <c r="BD1043" s="197"/>
      <c r="BN1043" s="197"/>
    </row>
    <row r="1044" spans="26:66" ht="16.2">
      <c r="Z1044" s="196"/>
      <c r="BD1044" s="197"/>
      <c r="BN1044" s="197"/>
    </row>
    <row r="1045" spans="26:66" ht="16.2">
      <c r="Z1045" s="196"/>
      <c r="BD1045" s="197"/>
      <c r="BN1045" s="197"/>
    </row>
    <row r="1046" spans="26:66" ht="16.2">
      <c r="Z1046" s="196"/>
      <c r="BD1046" s="197"/>
      <c r="BN1046" s="197"/>
    </row>
    <row r="1047" spans="26:66" ht="16.2">
      <c r="Z1047" s="196"/>
      <c r="BD1047" s="197"/>
      <c r="BN1047" s="197"/>
    </row>
    <row r="1048" spans="26:66" ht="16.2">
      <c r="Z1048" s="196"/>
      <c r="BD1048" s="197"/>
      <c r="BN1048" s="197"/>
    </row>
    <row r="1049" spans="26:66" ht="16.2">
      <c r="Z1049" s="196"/>
      <c r="BD1049" s="197"/>
      <c r="BN1049" s="197"/>
    </row>
    <row r="1050" spans="26:66" ht="16.2">
      <c r="Z1050" s="196"/>
      <c r="BD1050" s="197"/>
      <c r="BN1050" s="197"/>
    </row>
    <row r="1051" spans="26:66" ht="16.2">
      <c r="Z1051" s="196"/>
      <c r="BD1051" s="197"/>
      <c r="BN1051" s="197"/>
    </row>
    <row r="1052" spans="26:66" ht="16.2">
      <c r="Z1052" s="196"/>
      <c r="BD1052" s="197"/>
      <c r="BN1052" s="197"/>
    </row>
    <row r="1053" spans="26:66" ht="16.2">
      <c r="Z1053" s="196"/>
      <c r="BD1053" s="197"/>
      <c r="BN1053" s="197"/>
    </row>
    <row r="1054" spans="26:66" ht="16.2">
      <c r="Z1054" s="196"/>
      <c r="BD1054" s="197"/>
      <c r="BN1054" s="197"/>
    </row>
    <row r="1055" spans="26:66" ht="16.2">
      <c r="Z1055" s="196"/>
      <c r="BD1055" s="197"/>
      <c r="BN1055" s="197"/>
    </row>
    <row r="1056" spans="26:66" ht="16.2">
      <c r="Z1056" s="196"/>
      <c r="BD1056" s="197"/>
      <c r="BN1056" s="197"/>
    </row>
    <row r="1057" spans="26:66" ht="16.2">
      <c r="Z1057" s="196"/>
      <c r="BD1057" s="197"/>
      <c r="BN1057" s="197"/>
    </row>
    <row r="1058" spans="26:66" ht="16.2">
      <c r="Z1058" s="196"/>
      <c r="BD1058" s="197"/>
      <c r="BN1058" s="197"/>
    </row>
    <row r="1059" spans="26:66" ht="16.2">
      <c r="Z1059" s="196"/>
      <c r="BD1059" s="197"/>
      <c r="BN1059" s="197"/>
    </row>
    <row r="1060" spans="26:66" ht="16.2">
      <c r="Z1060" s="196"/>
      <c r="BD1060" s="197"/>
      <c r="BN1060" s="197"/>
    </row>
    <row r="1061" spans="26:66" ht="16.2">
      <c r="Z1061" s="196"/>
      <c r="BD1061" s="197"/>
      <c r="BN1061" s="197"/>
    </row>
    <row r="1062" spans="26:66" ht="16.2">
      <c r="Z1062" s="196"/>
      <c r="BD1062" s="197"/>
      <c r="BN1062" s="197"/>
    </row>
    <row r="1063" spans="26:66" ht="16.2">
      <c r="Z1063" s="196"/>
      <c r="BD1063" s="197"/>
      <c r="BN1063" s="197"/>
    </row>
    <row r="1064" spans="26:66" ht="16.2">
      <c r="Z1064" s="196"/>
      <c r="BD1064" s="197"/>
      <c r="BN1064" s="197"/>
    </row>
    <row r="1065" spans="26:66" ht="16.2">
      <c r="Z1065" s="196"/>
      <c r="BD1065" s="197"/>
      <c r="BN1065" s="197"/>
    </row>
    <row r="1066" spans="26:66" ht="16.2">
      <c r="Z1066" s="196"/>
      <c r="BD1066" s="197"/>
      <c r="BN1066" s="197"/>
    </row>
    <row r="1067" spans="26:66" ht="16.2">
      <c r="Z1067" s="196"/>
      <c r="BD1067" s="197"/>
      <c r="BN1067" s="197"/>
    </row>
    <row r="1068" spans="26:66" ht="16.2">
      <c r="Z1068" s="196"/>
      <c r="BD1068" s="197"/>
      <c r="BN1068" s="197"/>
    </row>
    <row r="1069" spans="26:66" ht="16.2">
      <c r="Z1069" s="196"/>
      <c r="BD1069" s="197"/>
      <c r="BN1069" s="197"/>
    </row>
    <row r="1070" spans="26:66" ht="16.2">
      <c r="Z1070" s="196"/>
      <c r="BD1070" s="197"/>
      <c r="BN1070" s="197"/>
    </row>
    <row r="1071" spans="26:66" ht="16.2">
      <c r="Z1071" s="196"/>
      <c r="BD1071" s="197"/>
      <c r="BN1071" s="197"/>
    </row>
    <row r="1072" spans="26:66" ht="16.2">
      <c r="Z1072" s="196"/>
      <c r="BD1072" s="197"/>
      <c r="BN1072" s="197"/>
    </row>
    <row r="1073" spans="26:66" ht="16.2">
      <c r="Z1073" s="196"/>
      <c r="BD1073" s="197"/>
      <c r="BN1073" s="197"/>
    </row>
    <row r="1074" spans="26:66" ht="16.2">
      <c r="Z1074" s="196"/>
      <c r="BD1074" s="197"/>
      <c r="BN1074" s="197"/>
    </row>
    <row r="1075" spans="26:66" ht="16.2">
      <c r="Z1075" s="196"/>
      <c r="BD1075" s="197"/>
      <c r="BN1075" s="197"/>
    </row>
    <row r="1076" spans="26:66" ht="16.2">
      <c r="Z1076" s="196"/>
      <c r="BD1076" s="197"/>
      <c r="BN1076" s="197"/>
    </row>
    <row r="1077" spans="26:66" ht="16.2">
      <c r="Z1077" s="196"/>
      <c r="BD1077" s="197"/>
      <c r="BN1077" s="197"/>
    </row>
    <row r="1078" spans="26:66" ht="16.2">
      <c r="Z1078" s="196"/>
      <c r="BD1078" s="197"/>
      <c r="BN1078" s="197"/>
    </row>
    <row r="1079" spans="26:66" ht="16.2">
      <c r="Z1079" s="196"/>
      <c r="BD1079" s="197"/>
      <c r="BN1079" s="197"/>
    </row>
    <row r="1080" spans="26:66" ht="16.2">
      <c r="Z1080" s="196"/>
      <c r="BD1080" s="197"/>
      <c r="BN1080" s="197"/>
    </row>
    <row r="1081" spans="26:66" ht="16.2">
      <c r="Z1081" s="196"/>
      <c r="BD1081" s="197"/>
      <c r="BN1081" s="197"/>
    </row>
    <row r="1082" spans="26:66" ht="16.2">
      <c r="Z1082" s="196"/>
      <c r="BD1082" s="197"/>
      <c r="BN1082" s="197"/>
    </row>
    <row r="1083" spans="26:66" ht="16.2">
      <c r="Z1083" s="196"/>
      <c r="BD1083" s="197"/>
      <c r="BN1083" s="197"/>
    </row>
    <row r="1084" spans="26:66" ht="16.2">
      <c r="Z1084" s="196"/>
      <c r="BD1084" s="197"/>
      <c r="BN1084" s="197"/>
    </row>
    <row r="1085" spans="26:66" ht="16.2">
      <c r="Z1085" s="196"/>
      <c r="BD1085" s="197"/>
      <c r="BN1085" s="197"/>
    </row>
    <row r="1086" spans="26:66" ht="16.2">
      <c r="Z1086" s="196"/>
      <c r="BD1086" s="197"/>
      <c r="BN1086" s="197"/>
    </row>
    <row r="1087" spans="26:66" ht="16.2">
      <c r="Z1087" s="196"/>
      <c r="BD1087" s="197"/>
      <c r="BN1087" s="197"/>
    </row>
    <row r="1088" spans="26:66" ht="16.2">
      <c r="Z1088" s="196"/>
      <c r="BD1088" s="197"/>
      <c r="BN1088" s="197"/>
    </row>
    <row r="1089" spans="26:66" ht="16.2">
      <c r="Z1089" s="196"/>
      <c r="BD1089" s="197"/>
      <c r="BN1089" s="197"/>
    </row>
    <row r="1090" spans="26:66" ht="16.2">
      <c r="Z1090" s="196"/>
      <c r="BD1090" s="197"/>
      <c r="BN1090" s="197"/>
    </row>
    <row r="1091" spans="26:66" ht="16.2">
      <c r="Z1091" s="196"/>
      <c r="BD1091" s="197"/>
      <c r="BN1091" s="197"/>
    </row>
    <row r="1092" spans="26:66" ht="16.2">
      <c r="Z1092" s="196"/>
      <c r="BD1092" s="197"/>
      <c r="BN1092" s="197"/>
    </row>
    <row r="1093" spans="26:66" ht="16.2">
      <c r="Z1093" s="196"/>
      <c r="BD1093" s="197"/>
      <c r="BN1093" s="197"/>
    </row>
    <row r="1094" spans="26:66" ht="16.2">
      <c r="Z1094" s="196"/>
      <c r="BD1094" s="197"/>
      <c r="BN1094" s="197"/>
    </row>
    <row r="1095" spans="26:66" ht="16.2">
      <c r="Z1095" s="196"/>
      <c r="BD1095" s="197"/>
      <c r="BN1095" s="197"/>
    </row>
    <row r="1096" spans="26:66" ht="16.2">
      <c r="Z1096" s="196"/>
      <c r="BD1096" s="197"/>
      <c r="BN1096" s="197"/>
    </row>
    <row r="1097" spans="26:66" ht="16.2">
      <c r="Z1097" s="196"/>
      <c r="BD1097" s="197"/>
      <c r="BN1097" s="197"/>
    </row>
    <row r="1098" spans="26:66" ht="16.2">
      <c r="Z1098" s="196"/>
      <c r="BD1098" s="197"/>
      <c r="BN1098" s="197"/>
    </row>
    <row r="1099" spans="26:66" ht="16.2">
      <c r="Z1099" s="196"/>
      <c r="BD1099" s="197"/>
      <c r="BN1099" s="197"/>
    </row>
    <row r="1100" spans="26:66" ht="16.2">
      <c r="Z1100" s="196"/>
      <c r="BD1100" s="197"/>
      <c r="BN1100" s="197"/>
    </row>
    <row r="1101" spans="26:66" ht="16.2">
      <c r="Z1101" s="196"/>
      <c r="BD1101" s="197"/>
      <c r="BN1101" s="197"/>
    </row>
    <row r="1102" spans="26:66" ht="16.2">
      <c r="Z1102" s="196"/>
      <c r="BD1102" s="197"/>
      <c r="BN1102" s="197"/>
    </row>
    <row r="1103" spans="26:66" ht="16.2">
      <c r="Z1103" s="196"/>
      <c r="BD1103" s="197"/>
      <c r="BN1103" s="197"/>
    </row>
    <row r="1104" spans="26:66" ht="16.2">
      <c r="Z1104" s="196"/>
      <c r="BD1104" s="197"/>
      <c r="BN1104" s="197"/>
    </row>
    <row r="1105" spans="26:66" ht="16.2">
      <c r="Z1105" s="196"/>
      <c r="BD1105" s="197"/>
      <c r="BN1105" s="197"/>
    </row>
    <row r="1106" spans="26:66" ht="16.2">
      <c r="Z1106" s="196"/>
      <c r="BD1106" s="197"/>
      <c r="BN1106" s="197"/>
    </row>
    <row r="1107" spans="26:66" ht="16.2">
      <c r="Z1107" s="196"/>
      <c r="BD1107" s="197"/>
      <c r="BN1107" s="197"/>
    </row>
    <row r="1108" spans="26:66" ht="16.2">
      <c r="Z1108" s="196"/>
      <c r="BD1108" s="197"/>
      <c r="BN1108" s="197"/>
    </row>
    <row r="1109" spans="26:66" ht="16.2">
      <c r="Z1109" s="196"/>
      <c r="BD1109" s="197"/>
      <c r="BN1109" s="197"/>
    </row>
    <row r="1110" spans="26:66" ht="16.2">
      <c r="Z1110" s="196"/>
      <c r="BD1110" s="197"/>
      <c r="BN1110" s="197"/>
    </row>
    <row r="1111" spans="26:66" ht="16.2">
      <c r="Z1111" s="196"/>
      <c r="BD1111" s="197"/>
      <c r="BN1111" s="197"/>
    </row>
    <row r="1112" spans="26:66" ht="16.2">
      <c r="Z1112" s="196"/>
      <c r="BD1112" s="197"/>
      <c r="BN1112" s="197"/>
    </row>
    <row r="1113" spans="26:66" ht="16.2">
      <c r="Z1113" s="196"/>
      <c r="BD1113" s="197"/>
      <c r="BN1113" s="197"/>
    </row>
    <row r="1114" spans="26:66" ht="16.2">
      <c r="Z1114" s="196"/>
      <c r="BD1114" s="197"/>
      <c r="BN1114" s="197"/>
    </row>
    <row r="1115" spans="26:66" ht="16.2">
      <c r="Z1115" s="196"/>
      <c r="BD1115" s="197"/>
      <c r="BN1115" s="197"/>
    </row>
    <row r="1116" spans="26:66" ht="16.2">
      <c r="Z1116" s="196"/>
      <c r="BD1116" s="197"/>
      <c r="BN1116" s="197"/>
    </row>
    <row r="1117" spans="26:66" ht="16.2">
      <c r="Z1117" s="196"/>
      <c r="BD1117" s="197"/>
      <c r="BN1117" s="197"/>
    </row>
    <row r="1118" spans="26:66" ht="16.2">
      <c r="Z1118" s="196"/>
      <c r="BD1118" s="197"/>
      <c r="BN1118" s="197"/>
    </row>
    <row r="1119" spans="26:66" ht="16.2">
      <c r="Z1119" s="196"/>
      <c r="BD1119" s="197"/>
      <c r="BN1119" s="197"/>
    </row>
    <row r="1120" spans="26:66" ht="16.2">
      <c r="Z1120" s="196"/>
      <c r="BD1120" s="197"/>
      <c r="BN1120" s="197"/>
    </row>
    <row r="1121" spans="26:66" ht="16.2">
      <c r="Z1121" s="196"/>
      <c r="BD1121" s="197"/>
      <c r="BN1121" s="197"/>
    </row>
    <row r="1122" spans="26:66" ht="16.2">
      <c r="Z1122" s="196"/>
      <c r="BD1122" s="197"/>
      <c r="BN1122" s="197"/>
    </row>
    <row r="1123" spans="26:66" ht="16.2">
      <c r="Z1123" s="196"/>
      <c r="BD1123" s="197"/>
      <c r="BN1123" s="197"/>
    </row>
    <row r="1124" spans="26:66" ht="16.2">
      <c r="Z1124" s="196"/>
      <c r="BD1124" s="197"/>
      <c r="BN1124" s="197"/>
    </row>
    <row r="1125" spans="26:66" ht="16.2">
      <c r="Z1125" s="196"/>
      <c r="BD1125" s="197"/>
      <c r="BN1125" s="197"/>
    </row>
    <row r="1126" spans="26:66" ht="16.2">
      <c r="Z1126" s="196"/>
      <c r="BD1126" s="197"/>
      <c r="BN1126" s="197"/>
    </row>
    <row r="1127" spans="26:66" ht="16.2">
      <c r="Z1127" s="196"/>
      <c r="BD1127" s="197"/>
      <c r="BN1127" s="197"/>
    </row>
    <row r="1128" spans="26:66" ht="16.2">
      <c r="Z1128" s="196"/>
      <c r="BD1128" s="197"/>
      <c r="BN1128" s="197"/>
    </row>
    <row r="1129" spans="26:66" ht="16.2">
      <c r="Z1129" s="196"/>
      <c r="BD1129" s="197"/>
      <c r="BN1129" s="197"/>
    </row>
    <row r="1130" spans="26:66" ht="16.2">
      <c r="Z1130" s="196"/>
      <c r="BD1130" s="197"/>
      <c r="BN1130" s="197"/>
    </row>
    <row r="1131" spans="26:66" ht="16.2">
      <c r="Z1131" s="196"/>
      <c r="BD1131" s="197"/>
      <c r="BN1131" s="197"/>
    </row>
    <row r="1132" spans="26:66" ht="16.2">
      <c r="Z1132" s="196"/>
      <c r="BD1132" s="197"/>
      <c r="BN1132" s="197"/>
    </row>
    <row r="1133" spans="26:66" ht="16.2">
      <c r="Z1133" s="196"/>
      <c r="BD1133" s="197"/>
      <c r="BN1133" s="197"/>
    </row>
    <row r="1134" spans="26:66" ht="16.2">
      <c r="Z1134" s="196"/>
      <c r="BD1134" s="197"/>
      <c r="BN1134" s="197"/>
    </row>
    <row r="1135" spans="26:66" ht="16.2">
      <c r="Z1135" s="196"/>
      <c r="BD1135" s="197"/>
      <c r="BN1135" s="197"/>
    </row>
    <row r="1136" spans="26:66" ht="16.2">
      <c r="Z1136" s="196"/>
      <c r="BD1136" s="197"/>
      <c r="BN1136" s="197"/>
    </row>
    <row r="1137" spans="26:66" ht="16.2">
      <c r="Z1137" s="196"/>
      <c r="BD1137" s="197"/>
      <c r="BN1137" s="197"/>
    </row>
    <row r="1138" spans="26:66" ht="16.2">
      <c r="Z1138" s="196"/>
      <c r="BD1138" s="197"/>
      <c r="BN1138" s="197"/>
    </row>
    <row r="1139" spans="26:66" ht="16.2">
      <c r="Z1139" s="196"/>
      <c r="BD1139" s="197"/>
      <c r="BN1139" s="197"/>
    </row>
    <row r="1140" spans="26:66" ht="16.2">
      <c r="Z1140" s="196"/>
      <c r="BD1140" s="197"/>
      <c r="BN1140" s="197"/>
    </row>
    <row r="1141" spans="26:66" ht="16.2">
      <c r="Z1141" s="196"/>
      <c r="BD1141" s="197"/>
      <c r="BN1141" s="197"/>
    </row>
    <row r="1142" spans="26:66" ht="16.2">
      <c r="Z1142" s="196"/>
      <c r="BD1142" s="197"/>
      <c r="BN1142" s="197"/>
    </row>
    <row r="1143" spans="26:66" ht="16.2">
      <c r="Z1143" s="196"/>
      <c r="BD1143" s="197"/>
      <c r="BN1143" s="197"/>
    </row>
    <row r="1144" spans="26:66" ht="16.2">
      <c r="Z1144" s="196"/>
      <c r="BD1144" s="197"/>
      <c r="BN1144" s="197"/>
    </row>
    <row r="1145" spans="26:66" ht="16.2">
      <c r="Z1145" s="196"/>
      <c r="BD1145" s="197"/>
      <c r="BN1145" s="197"/>
    </row>
    <row r="1146" spans="26:66" ht="16.2">
      <c r="Z1146" s="196"/>
      <c r="BD1146" s="197"/>
      <c r="BN1146" s="197"/>
    </row>
    <row r="1147" spans="26:66" ht="16.2">
      <c r="Z1147" s="196"/>
      <c r="BD1147" s="197"/>
      <c r="BN1147" s="197"/>
    </row>
    <row r="1148" spans="26:66" ht="16.2">
      <c r="Z1148" s="196"/>
      <c r="BD1148" s="197"/>
      <c r="BN1148" s="197"/>
    </row>
    <row r="1149" spans="26:66" ht="16.2">
      <c r="Z1149" s="196"/>
      <c r="BD1149" s="197"/>
      <c r="BN1149" s="197"/>
    </row>
    <row r="1150" spans="26:66" ht="16.2">
      <c r="Z1150" s="196"/>
      <c r="BD1150" s="197"/>
      <c r="BN1150" s="197"/>
    </row>
    <row r="1151" spans="26:66" ht="16.2">
      <c r="Z1151" s="196"/>
      <c r="BD1151" s="197"/>
      <c r="BN1151" s="197"/>
    </row>
    <row r="1152" spans="26:66" ht="16.2">
      <c r="Z1152" s="196"/>
      <c r="BD1152" s="197"/>
      <c r="BN1152" s="197"/>
    </row>
    <row r="1153" spans="26:66" ht="16.2">
      <c r="Z1153" s="196"/>
      <c r="BD1153" s="197"/>
      <c r="BN1153" s="197"/>
    </row>
    <row r="1154" spans="26:66" ht="16.2">
      <c r="Z1154" s="196"/>
      <c r="BD1154" s="197"/>
      <c r="BN1154" s="197"/>
    </row>
    <row r="1155" spans="26:66" ht="16.2">
      <c r="Z1155" s="196"/>
      <c r="BD1155" s="197"/>
      <c r="BN1155" s="197"/>
    </row>
    <row r="1156" spans="26:66" ht="16.2">
      <c r="Z1156" s="196"/>
      <c r="BD1156" s="197"/>
      <c r="BN1156" s="197"/>
    </row>
    <row r="1157" spans="26:66" ht="16.2">
      <c r="Z1157" s="196"/>
      <c r="BD1157" s="197"/>
      <c r="BN1157" s="197"/>
    </row>
    <row r="1158" spans="26:66" ht="16.2">
      <c r="Z1158" s="196"/>
      <c r="BD1158" s="197"/>
      <c r="BN1158" s="197"/>
    </row>
    <row r="1159" spans="26:66" ht="16.2">
      <c r="Z1159" s="196"/>
      <c r="BD1159" s="197"/>
      <c r="BN1159" s="197"/>
    </row>
    <row r="1160" spans="26:66" ht="16.2">
      <c r="Z1160" s="196"/>
      <c r="BD1160" s="197"/>
      <c r="BN1160" s="197"/>
    </row>
    <row r="1161" spans="26:66" ht="16.2">
      <c r="Z1161" s="196"/>
      <c r="BD1161" s="197"/>
      <c r="BN1161" s="197"/>
    </row>
    <row r="1162" spans="26:66" ht="16.2">
      <c r="Z1162" s="196"/>
      <c r="BD1162" s="197"/>
      <c r="BN1162" s="197"/>
    </row>
    <row r="1163" spans="26:66" ht="16.2">
      <c r="Z1163" s="196"/>
      <c r="BD1163" s="197"/>
      <c r="BN1163" s="197"/>
    </row>
    <row r="1164" spans="26:66" ht="16.2">
      <c r="Z1164" s="196"/>
      <c r="BD1164" s="197"/>
      <c r="BN1164" s="197"/>
    </row>
    <row r="1165" spans="26:66" ht="16.2">
      <c r="Z1165" s="196"/>
      <c r="BD1165" s="197"/>
      <c r="BN1165" s="197"/>
    </row>
    <row r="1166" spans="26:66" ht="16.2">
      <c r="Z1166" s="196"/>
      <c r="BD1166" s="197"/>
      <c r="BN1166" s="197"/>
    </row>
    <row r="1167" spans="26:66" ht="16.2">
      <c r="Z1167" s="196"/>
      <c r="BD1167" s="197"/>
      <c r="BN1167" s="197"/>
    </row>
    <row r="1168" spans="26:66" ht="16.2">
      <c r="Z1168" s="196"/>
      <c r="BD1168" s="197"/>
      <c r="BN1168" s="197"/>
    </row>
    <row r="1169" spans="26:66" ht="16.2">
      <c r="Z1169" s="196"/>
      <c r="BD1169" s="197"/>
      <c r="BN1169" s="197"/>
    </row>
    <row r="1170" spans="26:66" ht="16.2">
      <c r="Z1170" s="196"/>
      <c r="BD1170" s="197"/>
      <c r="BN1170" s="197"/>
    </row>
    <row r="1171" spans="26:66" ht="16.2">
      <c r="Z1171" s="196"/>
      <c r="BD1171" s="197"/>
      <c r="BN1171" s="197"/>
    </row>
    <row r="1172" spans="26:66" ht="16.2">
      <c r="Z1172" s="196"/>
      <c r="BD1172" s="197"/>
      <c r="BN1172" s="197"/>
    </row>
    <row r="1173" spans="26:66" ht="16.2">
      <c r="Z1173" s="196"/>
      <c r="BD1173" s="197"/>
      <c r="BN1173" s="197"/>
    </row>
    <row r="1174" spans="26:66" ht="16.2">
      <c r="Z1174" s="196"/>
      <c r="BD1174" s="197"/>
      <c r="BN1174" s="197"/>
    </row>
    <row r="1175" spans="26:66" ht="16.2">
      <c r="Z1175" s="196"/>
      <c r="BD1175" s="197"/>
      <c r="BN1175" s="197"/>
    </row>
    <row r="1176" spans="26:66" ht="16.2">
      <c r="Z1176" s="196"/>
      <c r="BD1176" s="197"/>
      <c r="BN1176" s="197"/>
    </row>
    <row r="1177" spans="26:66" ht="16.2">
      <c r="Z1177" s="196"/>
      <c r="BD1177" s="197"/>
      <c r="BN1177" s="197"/>
    </row>
    <row r="1178" spans="26:66" ht="16.2">
      <c r="Z1178" s="196"/>
      <c r="BD1178" s="197"/>
      <c r="BN1178" s="197"/>
    </row>
    <row r="1179" spans="26:66" ht="16.2">
      <c r="Z1179" s="196"/>
      <c r="BD1179" s="197"/>
      <c r="BN1179" s="197"/>
    </row>
    <row r="1180" spans="26:66" ht="16.2">
      <c r="Z1180" s="196"/>
      <c r="BD1180" s="197"/>
      <c r="BN1180" s="197"/>
    </row>
    <row r="1181" spans="26:66" ht="16.2">
      <c r="Z1181" s="196"/>
      <c r="BD1181" s="197"/>
      <c r="BN1181" s="197"/>
    </row>
    <row r="1182" spans="26:66" ht="16.2">
      <c r="Z1182" s="196"/>
      <c r="BD1182" s="197"/>
      <c r="BN1182" s="197"/>
    </row>
    <row r="1183" spans="26:66" ht="16.2">
      <c r="Z1183" s="196"/>
      <c r="BD1183" s="197"/>
      <c r="BN1183" s="197"/>
    </row>
    <row r="1184" spans="26:66" ht="16.2">
      <c r="Z1184" s="196"/>
      <c r="BD1184" s="197"/>
      <c r="BN1184" s="197"/>
    </row>
    <row r="1185" spans="26:66" ht="16.2">
      <c r="Z1185" s="196"/>
      <c r="BD1185" s="197"/>
      <c r="BN1185" s="197"/>
    </row>
    <row r="1186" spans="26:66" ht="16.2">
      <c r="Z1186" s="196"/>
      <c r="BD1186" s="197"/>
      <c r="BN1186" s="197"/>
    </row>
    <row r="1187" spans="26:66" ht="16.2">
      <c r="Z1187" s="196"/>
      <c r="BD1187" s="197"/>
      <c r="BN1187" s="197"/>
    </row>
    <row r="1188" spans="26:66" ht="16.2">
      <c r="Z1188" s="196"/>
      <c r="BD1188" s="197"/>
      <c r="BN1188" s="197"/>
    </row>
    <row r="1189" spans="26:66" ht="16.2">
      <c r="Z1189" s="196"/>
      <c r="BD1189" s="197"/>
      <c r="BN1189" s="197"/>
    </row>
    <row r="1190" spans="26:66" ht="16.2">
      <c r="Z1190" s="196"/>
      <c r="BD1190" s="197"/>
      <c r="BN1190" s="197"/>
    </row>
    <row r="1191" spans="26:66" ht="16.2">
      <c r="Z1191" s="196"/>
      <c r="BD1191" s="197"/>
      <c r="BN1191" s="197"/>
    </row>
    <row r="1192" spans="26:66" ht="16.2">
      <c r="Z1192" s="196"/>
      <c r="BD1192" s="197"/>
      <c r="BN1192" s="197"/>
    </row>
    <row r="1193" spans="26:66" ht="16.2">
      <c r="Z1193" s="196"/>
      <c r="BD1193" s="197"/>
      <c r="BN1193" s="197"/>
    </row>
    <row r="1194" spans="26:66" ht="16.2">
      <c r="Z1194" s="196"/>
      <c r="BD1194" s="197"/>
      <c r="BN1194" s="197"/>
    </row>
    <row r="1195" spans="26:66" ht="16.2">
      <c r="Z1195" s="196"/>
      <c r="BD1195" s="197"/>
      <c r="BN1195" s="197"/>
    </row>
    <row r="1196" spans="26:66" ht="16.2">
      <c r="Z1196" s="196"/>
      <c r="BD1196" s="197"/>
      <c r="BN1196" s="197"/>
    </row>
    <row r="1197" spans="26:66" ht="16.2">
      <c r="Z1197" s="196"/>
      <c r="BD1197" s="197"/>
      <c r="BN1197" s="197"/>
    </row>
    <row r="1198" spans="26:66" ht="16.2">
      <c r="Z1198" s="196"/>
      <c r="BD1198" s="197"/>
      <c r="BN1198" s="197"/>
    </row>
    <row r="1199" spans="26:66" ht="16.2">
      <c r="Z1199" s="196"/>
      <c r="BD1199" s="197"/>
      <c r="BN1199" s="197"/>
    </row>
    <row r="1200" spans="26:66" ht="16.2">
      <c r="Z1200" s="196"/>
      <c r="BD1200" s="197"/>
      <c r="BN1200" s="197"/>
    </row>
    <row r="1201" spans="26:66" ht="16.2">
      <c r="Z1201" s="196"/>
      <c r="BD1201" s="197"/>
      <c r="BN1201" s="197"/>
    </row>
    <row r="1202" spans="26:66" ht="16.2">
      <c r="Z1202" s="196"/>
      <c r="BD1202" s="197"/>
      <c r="BN1202" s="197"/>
    </row>
    <row r="1203" spans="26:66" ht="16.2">
      <c r="Z1203" s="196"/>
      <c r="BD1203" s="197"/>
      <c r="BN1203" s="197"/>
    </row>
    <row r="1204" spans="26:66" ht="16.2">
      <c r="Z1204" s="196"/>
      <c r="BD1204" s="197"/>
      <c r="BN1204" s="197"/>
    </row>
    <row r="1205" spans="26:66" ht="16.2">
      <c r="Z1205" s="196"/>
      <c r="BD1205" s="197"/>
      <c r="BN1205" s="197"/>
    </row>
    <row r="1206" spans="26:66" ht="16.2">
      <c r="Z1206" s="196"/>
      <c r="BD1206" s="197"/>
      <c r="BN1206" s="197"/>
    </row>
    <row r="1207" spans="26:66" ht="16.2">
      <c r="Z1207" s="196"/>
      <c r="BD1207" s="197"/>
      <c r="BN1207" s="197"/>
    </row>
    <row r="1208" spans="26:66" ht="16.2">
      <c r="Z1208" s="196"/>
      <c r="BD1208" s="197"/>
      <c r="BN1208" s="197"/>
    </row>
    <row r="1209" spans="26:66" ht="16.2">
      <c r="Z1209" s="196"/>
      <c r="BD1209" s="197"/>
      <c r="BN1209" s="197"/>
    </row>
    <row r="1210" spans="26:66" ht="16.2">
      <c r="Z1210" s="196"/>
      <c r="BD1210" s="197"/>
      <c r="BN1210" s="197"/>
    </row>
    <row r="1211" spans="26:66" ht="16.2">
      <c r="Z1211" s="196"/>
      <c r="BD1211" s="197"/>
      <c r="BN1211" s="197"/>
    </row>
    <row r="1212" spans="26:66" ht="16.2">
      <c r="Z1212" s="196"/>
      <c r="BD1212" s="197"/>
      <c r="BN1212" s="197"/>
    </row>
    <row r="1213" spans="26:66" ht="16.2">
      <c r="Z1213" s="196"/>
      <c r="BD1213" s="197"/>
      <c r="BN1213" s="197"/>
    </row>
    <row r="1214" spans="26:66" ht="16.2">
      <c r="Z1214" s="196"/>
      <c r="BD1214" s="197"/>
      <c r="BN1214" s="197"/>
    </row>
    <row r="1215" spans="26:66" ht="16.2">
      <c r="Z1215" s="196"/>
      <c r="BD1215" s="197"/>
      <c r="BN1215" s="197"/>
    </row>
    <row r="1216" spans="26:66" ht="16.2">
      <c r="Z1216" s="196"/>
      <c r="BD1216" s="197"/>
      <c r="BN1216" s="197"/>
    </row>
    <row r="1217" spans="26:66" ht="16.2">
      <c r="Z1217" s="196"/>
      <c r="BD1217" s="197"/>
      <c r="BN1217" s="197"/>
    </row>
    <row r="1218" spans="26:66" ht="16.2">
      <c r="Z1218" s="196"/>
      <c r="BD1218" s="197"/>
      <c r="BN1218" s="197"/>
    </row>
    <row r="1219" spans="26:66" ht="16.2">
      <c r="Z1219" s="196"/>
      <c r="BD1219" s="197"/>
      <c r="BN1219" s="197"/>
    </row>
    <row r="1220" spans="26:66" ht="16.2">
      <c r="Z1220" s="196"/>
      <c r="BD1220" s="197"/>
      <c r="BN1220" s="197"/>
    </row>
    <row r="1221" spans="26:66" ht="16.2">
      <c r="Z1221" s="196"/>
      <c r="BD1221" s="197"/>
      <c r="BN1221" s="197"/>
    </row>
    <row r="1222" spans="26:66" ht="16.2">
      <c r="Z1222" s="196"/>
      <c r="BD1222" s="197"/>
      <c r="BN1222" s="197"/>
    </row>
    <row r="1223" spans="26:66" ht="16.2">
      <c r="Z1223" s="196"/>
      <c r="BD1223" s="197"/>
      <c r="BN1223" s="197"/>
    </row>
    <row r="1224" spans="26:66" ht="16.2">
      <c r="Z1224" s="196"/>
      <c r="BD1224" s="197"/>
      <c r="BN1224" s="197"/>
    </row>
    <row r="1225" spans="26:66" ht="16.2">
      <c r="Z1225" s="196"/>
      <c r="BD1225" s="197"/>
      <c r="BN1225" s="197"/>
    </row>
    <row r="1226" spans="26:66" ht="16.2">
      <c r="Z1226" s="196"/>
      <c r="BD1226" s="197"/>
      <c r="BN1226" s="197"/>
    </row>
    <row r="1227" spans="26:66" ht="16.2">
      <c r="Z1227" s="196"/>
      <c r="BD1227" s="197"/>
      <c r="BN1227" s="197"/>
    </row>
    <row r="1228" spans="26:66" ht="16.2">
      <c r="Z1228" s="196"/>
      <c r="BD1228" s="197"/>
      <c r="BN1228" s="197"/>
    </row>
    <row r="1229" spans="26:66" ht="16.2">
      <c r="Z1229" s="196"/>
      <c r="BD1229" s="197"/>
      <c r="BN1229" s="197"/>
    </row>
    <row r="1230" spans="26:66" ht="16.2">
      <c r="Z1230" s="196"/>
      <c r="BD1230" s="197"/>
      <c r="BN1230" s="197"/>
    </row>
    <row r="1231" spans="26:66" ht="16.2">
      <c r="Z1231" s="196"/>
      <c r="BD1231" s="197"/>
      <c r="BN1231" s="197"/>
    </row>
    <row r="1232" spans="26:66" ht="16.2">
      <c r="Z1232" s="196"/>
      <c r="BD1232" s="197"/>
      <c r="BN1232" s="197"/>
    </row>
    <row r="1233" spans="26:66" ht="16.2">
      <c r="Z1233" s="196"/>
      <c r="BD1233" s="197"/>
      <c r="BN1233" s="197"/>
    </row>
    <row r="1234" spans="26:66" ht="16.2">
      <c r="Z1234" s="196"/>
      <c r="BD1234" s="197"/>
      <c r="BN1234" s="197"/>
    </row>
    <row r="1235" spans="26:66" ht="16.2">
      <c r="Z1235" s="196"/>
      <c r="BD1235" s="197"/>
      <c r="BN1235" s="197"/>
    </row>
    <row r="1236" spans="26:66" ht="16.2">
      <c r="Z1236" s="196"/>
      <c r="BD1236" s="197"/>
      <c r="BN1236" s="197"/>
    </row>
    <row r="1237" spans="26:66" ht="16.2">
      <c r="Z1237" s="196"/>
      <c r="BD1237" s="197"/>
      <c r="BN1237" s="197"/>
    </row>
    <row r="1238" spans="26:66" ht="16.2">
      <c r="Z1238" s="196"/>
      <c r="BD1238" s="197"/>
      <c r="BN1238" s="197"/>
    </row>
    <row r="1239" spans="26:66" ht="16.2">
      <c r="Z1239" s="196"/>
      <c r="BD1239" s="197"/>
      <c r="BN1239" s="197"/>
    </row>
    <row r="1240" spans="26:66" ht="16.2">
      <c r="Z1240" s="196"/>
      <c r="BD1240" s="197"/>
      <c r="BN1240" s="197"/>
    </row>
    <row r="1241" spans="26:66" ht="16.2">
      <c r="Z1241" s="196"/>
      <c r="BD1241" s="197"/>
      <c r="BN1241" s="197"/>
    </row>
    <row r="1242" spans="26:66" ht="16.2">
      <c r="Z1242" s="196"/>
      <c r="BD1242" s="197"/>
      <c r="BN1242" s="197"/>
    </row>
    <row r="1243" spans="26:66" ht="16.2">
      <c r="Z1243" s="196"/>
      <c r="BD1243" s="197"/>
      <c r="BN1243" s="197"/>
    </row>
    <row r="1244" spans="26:66" ht="16.2">
      <c r="Z1244" s="196"/>
      <c r="BD1244" s="197"/>
      <c r="BN1244" s="197"/>
    </row>
    <row r="1245" spans="26:66" ht="16.2">
      <c r="Z1245" s="196"/>
      <c r="BD1245" s="197"/>
      <c r="BN1245" s="197"/>
    </row>
    <row r="1246" spans="26:66" ht="16.2">
      <c r="Z1246" s="196"/>
      <c r="BD1246" s="197"/>
      <c r="BN1246" s="197"/>
    </row>
    <row r="1247" spans="26:66" ht="16.2">
      <c r="Z1247" s="196"/>
      <c r="BD1247" s="197"/>
      <c r="BN1247" s="197"/>
    </row>
    <row r="1248" spans="26:66" ht="16.2">
      <c r="Z1248" s="196"/>
      <c r="BD1248" s="197"/>
      <c r="BN1248" s="197"/>
    </row>
    <row r="1249" spans="26:66" ht="16.2">
      <c r="Z1249" s="196"/>
      <c r="BD1249" s="197"/>
      <c r="BN1249" s="197"/>
    </row>
    <row r="1250" spans="26:66" ht="16.2">
      <c r="Z1250" s="196"/>
      <c r="BD1250" s="197"/>
      <c r="BN1250" s="197"/>
    </row>
    <row r="1251" spans="26:66" ht="16.2">
      <c r="Z1251" s="196"/>
      <c r="BD1251" s="197"/>
      <c r="BN1251" s="197"/>
    </row>
    <row r="1252" spans="26:66" ht="16.2">
      <c r="Z1252" s="196"/>
      <c r="BD1252" s="197"/>
      <c r="BN1252" s="197"/>
    </row>
    <row r="1253" spans="26:66" ht="16.2">
      <c r="Z1253" s="196"/>
      <c r="BD1253" s="197"/>
      <c r="BN1253" s="197"/>
    </row>
    <row r="1254" spans="26:66" ht="16.2">
      <c r="Z1254" s="196"/>
      <c r="BD1254" s="197"/>
      <c r="BN1254" s="197"/>
    </row>
    <row r="1255" spans="26:66" ht="16.2">
      <c r="Z1255" s="196"/>
      <c r="BD1255" s="197"/>
      <c r="BN1255" s="197"/>
    </row>
    <row r="1256" spans="26:66" ht="16.2">
      <c r="Z1256" s="196"/>
      <c r="BD1256" s="197"/>
      <c r="BN1256" s="197"/>
    </row>
    <row r="1257" spans="26:66" ht="16.2">
      <c r="Z1257" s="196"/>
      <c r="BD1257" s="197"/>
      <c r="BN1257" s="197"/>
    </row>
    <row r="1258" spans="26:66" ht="16.2">
      <c r="Z1258" s="196"/>
      <c r="BD1258" s="197"/>
      <c r="BN1258" s="197"/>
    </row>
    <row r="1259" spans="26:66" ht="16.2">
      <c r="Z1259" s="196"/>
      <c r="BD1259" s="197"/>
      <c r="BN1259" s="197"/>
    </row>
    <row r="1260" spans="26:66" ht="16.2">
      <c r="Z1260" s="196"/>
      <c r="BD1260" s="197"/>
      <c r="BN1260" s="197"/>
    </row>
    <row r="1261" spans="26:66" ht="16.2">
      <c r="Z1261" s="196"/>
      <c r="BD1261" s="197"/>
      <c r="BN1261" s="197"/>
    </row>
    <row r="1262" spans="26:66" ht="16.2">
      <c r="Z1262" s="196"/>
      <c r="BD1262" s="197"/>
      <c r="BN1262" s="197"/>
    </row>
    <row r="1263" spans="26:66" ht="16.2">
      <c r="Z1263" s="196"/>
      <c r="BD1263" s="197"/>
      <c r="BN1263" s="197"/>
    </row>
    <row r="1264" spans="26:66" ht="16.2">
      <c r="Z1264" s="196"/>
      <c r="BD1264" s="197"/>
      <c r="BN1264" s="197"/>
    </row>
    <row r="1265" spans="26:66" ht="16.2">
      <c r="Z1265" s="196"/>
      <c r="BD1265" s="197"/>
      <c r="BN1265" s="197"/>
    </row>
    <row r="1266" spans="26:66" ht="16.2">
      <c r="Z1266" s="196"/>
      <c r="BD1266" s="197"/>
      <c r="BN1266" s="197"/>
    </row>
    <row r="1267" spans="26:66" ht="16.2">
      <c r="Z1267" s="196"/>
      <c r="BD1267" s="197"/>
      <c r="BN1267" s="197"/>
    </row>
    <row r="1268" spans="26:66" ht="16.2">
      <c r="Z1268" s="196"/>
      <c r="BD1268" s="197"/>
      <c r="BN1268" s="197"/>
    </row>
    <row r="1269" spans="26:66" ht="16.2">
      <c r="Z1269" s="196"/>
      <c r="BD1269" s="197"/>
      <c r="BN1269" s="197"/>
    </row>
    <row r="1270" spans="26:66" ht="16.2">
      <c r="Z1270" s="196"/>
      <c r="BD1270" s="197"/>
      <c r="BN1270" s="197"/>
    </row>
    <row r="1271" spans="26:66" ht="16.2">
      <c r="Z1271" s="196"/>
      <c r="BD1271" s="197"/>
      <c r="BN1271" s="197"/>
    </row>
    <row r="1272" spans="26:66" ht="16.2">
      <c r="Z1272" s="196"/>
      <c r="BD1272" s="197"/>
      <c r="BN1272" s="197"/>
    </row>
    <row r="1273" spans="26:66" ht="16.2">
      <c r="Z1273" s="196"/>
      <c r="BD1273" s="197"/>
      <c r="BN1273" s="197"/>
    </row>
    <row r="1274" spans="26:66" ht="16.2">
      <c r="Z1274" s="196"/>
      <c r="BD1274" s="197"/>
      <c r="BN1274" s="197"/>
    </row>
    <row r="1275" spans="26:66" ht="16.2">
      <c r="Z1275" s="196"/>
      <c r="BD1275" s="197"/>
      <c r="BN1275" s="197"/>
    </row>
    <row r="1276" spans="26:66" ht="16.2">
      <c r="Z1276" s="196"/>
      <c r="BD1276" s="197"/>
      <c r="BN1276" s="197"/>
    </row>
    <row r="1277" spans="26:66" ht="16.2">
      <c r="Z1277" s="196"/>
      <c r="BD1277" s="197"/>
      <c r="BN1277" s="197"/>
    </row>
    <row r="1278" spans="26:66" ht="16.2">
      <c r="Z1278" s="196"/>
      <c r="BD1278" s="197"/>
      <c r="BN1278" s="197"/>
    </row>
    <row r="1279" spans="26:66" ht="16.2">
      <c r="Z1279" s="196"/>
      <c r="BD1279" s="197"/>
      <c r="BN1279" s="197"/>
    </row>
    <row r="1280" spans="26:66" ht="16.2">
      <c r="Z1280" s="196"/>
      <c r="BD1280" s="197"/>
      <c r="BN1280" s="197"/>
    </row>
    <row r="1281" spans="26:66" ht="16.2">
      <c r="Z1281" s="196"/>
      <c r="BD1281" s="197"/>
      <c r="BN1281" s="197"/>
    </row>
    <row r="1282" spans="26:66" ht="16.2">
      <c r="Z1282" s="196"/>
      <c r="BD1282" s="197"/>
      <c r="BN1282" s="197"/>
    </row>
    <row r="1283" spans="26:66" ht="16.2">
      <c r="Z1283" s="196"/>
      <c r="BD1283" s="197"/>
      <c r="BN1283" s="197"/>
    </row>
    <row r="1284" spans="26:66" ht="16.2">
      <c r="Z1284" s="196"/>
      <c r="BD1284" s="197"/>
      <c r="BN1284" s="197"/>
    </row>
    <row r="1285" spans="26:66" ht="16.2">
      <c r="Z1285" s="196"/>
      <c r="BD1285" s="197"/>
      <c r="BN1285" s="197"/>
    </row>
    <row r="1286" spans="26:66" ht="16.2">
      <c r="Z1286" s="196"/>
      <c r="BD1286" s="197"/>
      <c r="BN1286" s="197"/>
    </row>
    <row r="1287" spans="26:66" ht="16.2">
      <c r="Z1287" s="196"/>
      <c r="BD1287" s="197"/>
      <c r="BN1287" s="197"/>
    </row>
    <row r="1288" spans="26:66" ht="16.2">
      <c r="Z1288" s="196"/>
      <c r="BD1288" s="197"/>
      <c r="BN1288" s="197"/>
    </row>
    <row r="1289" spans="26:66" ht="16.2">
      <c r="Z1289" s="196"/>
      <c r="BD1289" s="197"/>
      <c r="BN1289" s="197"/>
    </row>
  </sheetData>
  <mergeCells count="59">
    <mergeCell ref="A21:N23"/>
    <mergeCell ref="A1:O2"/>
    <mergeCell ref="A4:J4"/>
    <mergeCell ref="A5:J5"/>
    <mergeCell ref="A6:J6"/>
    <mergeCell ref="D7:L7"/>
    <mergeCell ref="K4:N5"/>
    <mergeCell ref="J13:L14"/>
    <mergeCell ref="M13:N14"/>
    <mergeCell ref="BO28:BV28"/>
    <mergeCell ref="Q28:X28"/>
    <mergeCell ref="AA28:AH28"/>
    <mergeCell ref="AK28:AR28"/>
    <mergeCell ref="AU28:BB28"/>
    <mergeCell ref="BE28:BL28"/>
    <mergeCell ref="BO26:BS26"/>
    <mergeCell ref="BU26:BV26"/>
    <mergeCell ref="Q27:X27"/>
    <mergeCell ref="AA27:AH27"/>
    <mergeCell ref="AK27:AR27"/>
    <mergeCell ref="AU27:BB27"/>
    <mergeCell ref="BE27:BL27"/>
    <mergeCell ref="BO27:BV27"/>
    <mergeCell ref="AQ26:AR26"/>
    <mergeCell ref="AU26:AY26"/>
    <mergeCell ref="BA26:BB26"/>
    <mergeCell ref="BE26:BI26"/>
    <mergeCell ref="BK26:BL26"/>
    <mergeCell ref="Q26:U26"/>
    <mergeCell ref="W26:X26"/>
    <mergeCell ref="AA26:AE26"/>
    <mergeCell ref="AG26:AH26"/>
    <mergeCell ref="AK26:AO26"/>
    <mergeCell ref="M6:N6"/>
    <mergeCell ref="M7:N7"/>
    <mergeCell ref="J9:L10"/>
    <mergeCell ref="J11:L12"/>
    <mergeCell ref="M11:N12"/>
    <mergeCell ref="M9:N10"/>
    <mergeCell ref="G19:N19"/>
    <mergeCell ref="A24:D24"/>
    <mergeCell ref="L24:N24"/>
    <mergeCell ref="E24:J24"/>
    <mergeCell ref="M15:N16"/>
    <mergeCell ref="J15:L16"/>
    <mergeCell ref="M17:N18"/>
    <mergeCell ref="G20:N20"/>
    <mergeCell ref="A19:F20"/>
    <mergeCell ref="J17:L18"/>
    <mergeCell ref="A17:F18"/>
    <mergeCell ref="A15:F16"/>
    <mergeCell ref="A9:F10"/>
    <mergeCell ref="A11:F12"/>
    <mergeCell ref="G9:I10"/>
    <mergeCell ref="G11:I12"/>
    <mergeCell ref="G17:I18"/>
    <mergeCell ref="G15:I16"/>
    <mergeCell ref="A13:F14"/>
    <mergeCell ref="G13:I14"/>
  </mergeCells>
  <printOptions horizontalCentered="1" verticalCentered="1"/>
  <pageMargins left="0" right="0" top="0" bottom="0" header="0" footer="0"/>
  <pageSetup paperSize="9" firstPageNumber="0" orientation="landscape" useFirstPageNumber="1" r:id="rId1"/>
  <headerFooter>
    <oddHeader>&amp;L&amp;"B Nazanin,Regular"&amp;P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M15"/>
  <sheetViews>
    <sheetView rightToLeft="1" view="pageBreakPreview" zoomScale="120" zoomScaleSheetLayoutView="120" workbookViewId="0">
      <selection activeCell="J11" sqref="J11"/>
    </sheetView>
  </sheetViews>
  <sheetFormatPr defaultColWidth="9.109375" defaultRowHeight="16.2"/>
  <cols>
    <col min="1" max="1" width="9.88671875" style="38" customWidth="1"/>
    <col min="2" max="5" width="6.6640625" style="38" customWidth="1"/>
    <col min="6" max="7" width="8.33203125" style="38" customWidth="1"/>
    <col min="8" max="8" width="15.44140625" style="38" customWidth="1"/>
    <col min="9" max="9" width="15.44140625" style="100" customWidth="1"/>
    <col min="10" max="10" width="15.44140625" style="38" customWidth="1"/>
    <col min="11" max="11" width="15.44140625" style="100" customWidth="1"/>
    <col min="12" max="12" width="15.44140625" style="38" customWidth="1"/>
    <col min="13" max="13" width="15.44140625" style="100" customWidth="1"/>
    <col min="14" max="16384" width="9.109375" style="38"/>
  </cols>
  <sheetData>
    <row r="1" spans="1:13" ht="19.5" customHeight="1">
      <c r="A1" s="734"/>
      <c r="B1" s="734"/>
      <c r="C1" s="734"/>
      <c r="D1" s="734"/>
      <c r="E1" s="734"/>
      <c r="F1" s="734"/>
      <c r="G1" s="734"/>
      <c r="H1" s="734"/>
      <c r="I1" s="734"/>
      <c r="J1" s="734"/>
      <c r="K1" s="734"/>
      <c r="L1" s="734"/>
      <c r="M1" s="734"/>
    </row>
    <row r="2" spans="1:13" ht="19.5" customHeight="1">
      <c r="A2" s="734"/>
      <c r="B2" s="734"/>
      <c r="C2" s="734"/>
      <c r="D2" s="734"/>
      <c r="E2" s="734"/>
      <c r="F2" s="734"/>
      <c r="G2" s="734"/>
      <c r="H2" s="734"/>
      <c r="I2" s="734"/>
      <c r="J2" s="734"/>
      <c r="K2" s="734"/>
      <c r="L2" s="734"/>
      <c r="M2" s="734"/>
    </row>
    <row r="3" spans="1:13" ht="25.5" customHeight="1">
      <c r="A3" s="496" t="s">
        <v>38</v>
      </c>
      <c r="B3" s="496"/>
      <c r="C3" s="496"/>
      <c r="D3" s="496"/>
      <c r="E3" s="496"/>
      <c r="F3" s="496"/>
      <c r="G3" s="496"/>
      <c r="H3" s="496"/>
      <c r="I3" s="496"/>
      <c r="J3" s="496"/>
      <c r="K3" s="496"/>
      <c r="L3" s="496"/>
      <c r="M3" s="496"/>
    </row>
    <row r="4" spans="1:13" ht="21" customHeight="1">
      <c r="A4" s="35" t="str">
        <f>اطلاعات!B15</f>
        <v>کارفرما : اداره کل نوسازی مدارس استان ....</v>
      </c>
      <c r="B4" s="61"/>
      <c r="C4" s="61"/>
      <c r="D4" s="61"/>
      <c r="E4" s="61"/>
      <c r="F4" s="730"/>
      <c r="G4" s="730"/>
      <c r="H4" s="730"/>
      <c r="I4" s="730"/>
      <c r="J4" s="730"/>
      <c r="K4" s="730"/>
      <c r="L4" s="736" t="str">
        <f>اطلاعات!B5</f>
        <v>صورت وضعيت موقت شماره10</v>
      </c>
      <c r="M4" s="736"/>
    </row>
    <row r="5" spans="1:13" ht="19.5" customHeight="1">
      <c r="A5" s="735" t="str">
        <f>اطلاعات!B18</f>
        <v>پیمانکار :  مهندسین پیمانکار ....</v>
      </c>
      <c r="B5" s="735"/>
      <c r="C5" s="735"/>
      <c r="D5" s="735"/>
      <c r="E5" s="735"/>
      <c r="F5" s="735"/>
      <c r="G5" s="735"/>
      <c r="H5" s="735"/>
      <c r="I5" s="735"/>
      <c r="J5" s="735"/>
      <c r="K5" s="735"/>
      <c r="L5" s="736"/>
      <c r="M5" s="736"/>
    </row>
    <row r="6" spans="1:13" ht="21" customHeight="1">
      <c r="E6" s="14"/>
      <c r="F6" s="735" t="str">
        <f>اطلاعات!B14</f>
        <v>موضوع قرارداد : ساختمان اداره کل نوسازی مدارس...</v>
      </c>
      <c r="G6" s="735"/>
      <c r="H6" s="735"/>
      <c r="I6" s="735"/>
      <c r="J6" s="735"/>
      <c r="K6" s="735"/>
      <c r="L6" s="35" t="str">
        <f>اطلاعات!B7</f>
        <v>دوره كاركرد از: 1399/06/19</v>
      </c>
      <c r="M6" s="101"/>
    </row>
    <row r="7" spans="1:13" ht="21" customHeight="1">
      <c r="A7" s="36" t="str">
        <f>اطلاعات!B16</f>
        <v xml:space="preserve"> قرارداد شماره :  1232579/ر/1399</v>
      </c>
      <c r="B7" s="37"/>
      <c r="C7" s="37"/>
      <c r="D7" s="37"/>
      <c r="E7" s="16"/>
      <c r="F7" s="735"/>
      <c r="G7" s="735"/>
      <c r="H7" s="735"/>
      <c r="I7" s="735"/>
      <c r="J7" s="735"/>
      <c r="K7" s="735"/>
      <c r="L7" s="35" t="str">
        <f>اطلاعات!B8</f>
        <v>لغايت : 1399/07/19</v>
      </c>
      <c r="M7" s="101"/>
    </row>
    <row r="8" spans="1:13" ht="23.25" customHeight="1">
      <c r="A8" s="503" t="s">
        <v>44</v>
      </c>
      <c r="B8" s="503" t="s">
        <v>45</v>
      </c>
      <c r="C8" s="503"/>
      <c r="D8" s="503"/>
      <c r="E8" s="503"/>
      <c r="F8" s="504" t="s">
        <v>50</v>
      </c>
      <c r="G8" s="504"/>
      <c r="H8" s="498" t="s">
        <v>49</v>
      </c>
      <c r="I8" s="498"/>
      <c r="J8" s="498"/>
      <c r="K8" s="498"/>
      <c r="L8" s="498"/>
      <c r="M8" s="498"/>
    </row>
    <row r="9" spans="1:13" ht="23.25" customHeight="1">
      <c r="A9" s="503"/>
      <c r="B9" s="503"/>
      <c r="C9" s="503"/>
      <c r="D9" s="503"/>
      <c r="E9" s="503"/>
      <c r="F9" s="504"/>
      <c r="G9" s="504"/>
      <c r="H9" s="499" t="s">
        <v>39</v>
      </c>
      <c r="I9" s="500"/>
      <c r="J9" s="499" t="s">
        <v>41</v>
      </c>
      <c r="K9" s="500"/>
      <c r="L9" s="501" t="s">
        <v>40</v>
      </c>
      <c r="M9" s="502"/>
    </row>
    <row r="10" spans="1:13" ht="23.25" customHeight="1">
      <c r="A10" s="503"/>
      <c r="B10" s="503"/>
      <c r="C10" s="503"/>
      <c r="D10" s="503"/>
      <c r="E10" s="503"/>
      <c r="F10" s="504"/>
      <c r="G10" s="504"/>
      <c r="H10" s="97" t="s">
        <v>130</v>
      </c>
      <c r="I10" s="99" t="s">
        <v>131</v>
      </c>
      <c r="J10" s="97" t="s">
        <v>130</v>
      </c>
      <c r="K10" s="99" t="s">
        <v>131</v>
      </c>
      <c r="L10" s="97" t="s">
        <v>130</v>
      </c>
      <c r="M10" s="102" t="s">
        <v>131</v>
      </c>
    </row>
    <row r="11" spans="1:13" ht="56.25" customHeight="1">
      <c r="A11" s="96" t="s">
        <v>46</v>
      </c>
      <c r="B11" s="505" t="s">
        <v>214</v>
      </c>
      <c r="C11" s="505"/>
      <c r="D11" s="505"/>
      <c r="E11" s="505"/>
      <c r="F11" s="497">
        <v>24391199900</v>
      </c>
      <c r="G11" s="497"/>
      <c r="H11" s="76">
        <v>32536079740.724304</v>
      </c>
      <c r="I11" s="77"/>
      <c r="J11" s="76">
        <f t="shared" ref="J11:K11" si="0">L11-H11</f>
        <v>5753746212.2126923</v>
      </c>
      <c r="K11" s="77">
        <f t="shared" si="0"/>
        <v>0</v>
      </c>
      <c r="L11" s="76">
        <f>'مالي ابنیه'!K37</f>
        <v>38289825952.936996</v>
      </c>
      <c r="M11" s="77">
        <f>'مالي ابنیه'!L37</f>
        <v>0</v>
      </c>
    </row>
    <row r="12" spans="1:13" ht="56.25" customHeight="1">
      <c r="A12" s="98" t="s">
        <v>47</v>
      </c>
      <c r="B12" s="505" t="s">
        <v>214</v>
      </c>
      <c r="C12" s="505"/>
      <c r="D12" s="505"/>
      <c r="E12" s="505"/>
      <c r="F12" s="497">
        <v>3090129000</v>
      </c>
      <c r="G12" s="497"/>
      <c r="H12" s="76">
        <v>230740478.80000001</v>
      </c>
      <c r="I12" s="77"/>
      <c r="J12" s="76">
        <f t="shared" ref="J12:K13" si="1">L12-H12</f>
        <v>1049178331.5</v>
      </c>
      <c r="K12" s="77">
        <f t="shared" si="1"/>
        <v>0</v>
      </c>
      <c r="L12" s="76">
        <f>'مالي مکانیکی'!K20</f>
        <v>1279918810.3</v>
      </c>
      <c r="M12" s="77">
        <v>0</v>
      </c>
    </row>
    <row r="13" spans="1:13" ht="56.25" customHeight="1">
      <c r="A13" s="98" t="s">
        <v>48</v>
      </c>
      <c r="B13" s="505" t="s">
        <v>214</v>
      </c>
      <c r="C13" s="505"/>
      <c r="D13" s="505"/>
      <c r="E13" s="505"/>
      <c r="F13" s="497">
        <v>4836520000</v>
      </c>
      <c r="G13" s="497"/>
      <c r="H13" s="231"/>
      <c r="I13" s="124"/>
      <c r="J13" s="149">
        <f t="shared" si="1"/>
        <v>0</v>
      </c>
      <c r="K13" s="124"/>
      <c r="L13" s="174"/>
      <c r="M13" s="124"/>
    </row>
    <row r="14" spans="1:13" ht="56.25" customHeight="1">
      <c r="A14" s="98" t="s">
        <v>1827</v>
      </c>
      <c r="B14" s="505">
        <v>1.1695</v>
      </c>
      <c r="C14" s="505"/>
      <c r="D14" s="505"/>
      <c r="E14" s="505"/>
      <c r="F14" s="497">
        <f>500000000*1.1695</f>
        <v>584750000</v>
      </c>
      <c r="G14" s="497"/>
      <c r="H14" s="294">
        <v>584750000</v>
      </c>
      <c r="I14" s="124"/>
      <c r="J14" s="294">
        <v>500000000</v>
      </c>
      <c r="K14" s="124"/>
      <c r="L14" s="294">
        <f>J14*B14</f>
        <v>584750000</v>
      </c>
      <c r="M14" s="124"/>
    </row>
    <row r="15" spans="1:13" ht="56.25" customHeight="1">
      <c r="A15" s="506" t="s">
        <v>63</v>
      </c>
      <c r="B15" s="506"/>
      <c r="C15" s="506"/>
      <c r="D15" s="506"/>
      <c r="E15" s="506"/>
      <c r="F15" s="507">
        <f>SUM(F11:G14)*1.3</f>
        <v>42773378570</v>
      </c>
      <c r="G15" s="507"/>
      <c r="H15" s="263">
        <v>28005470107.845798</v>
      </c>
      <c r="I15" s="50"/>
      <c r="J15" s="263">
        <f>SUM(J11:J14)</f>
        <v>7302924543.7126923</v>
      </c>
      <c r="K15" s="50"/>
      <c r="L15" s="263">
        <f>SUM(L11:L14)</f>
        <v>40154494763.237</v>
      </c>
      <c r="M15" s="50"/>
    </row>
  </sheetData>
  <customSheetViews>
    <customSheetView guid="{5F979833-83B6-471E-868C-7104B08B174F}" scale="70" showPageBreaks="1" printArea="1" view="pageBreakPreview" topLeftCell="A7">
      <selection activeCell="C24" sqref="C24:L24"/>
      <pageMargins left="0" right="0" top="0.39370078740157483" bottom="0" header="0" footer="0"/>
      <printOptions horizontalCentered="1"/>
      <pageSetup paperSize="9" scale="72" firstPageNumber="0" orientation="landscape" useFirstPageNumber="1" horizontalDpi="4294967295" verticalDpi="300" r:id="rId1"/>
      <headerFooter alignWithMargins="0"/>
    </customSheetView>
  </customSheetViews>
  <mergeCells count="24">
    <mergeCell ref="A15:E15"/>
    <mergeCell ref="F15:G15"/>
    <mergeCell ref="B14:E14"/>
    <mergeCell ref="F14:G14"/>
    <mergeCell ref="A1:M2"/>
    <mergeCell ref="F4:K4"/>
    <mergeCell ref="A5:E5"/>
    <mergeCell ref="F5:K5"/>
    <mergeCell ref="L4:M5"/>
    <mergeCell ref="A3:M3"/>
    <mergeCell ref="F13:G13"/>
    <mergeCell ref="H8:M8"/>
    <mergeCell ref="F6:K7"/>
    <mergeCell ref="H9:I9"/>
    <mergeCell ref="J9:K9"/>
    <mergeCell ref="L9:M9"/>
    <mergeCell ref="A8:A10"/>
    <mergeCell ref="B8:E10"/>
    <mergeCell ref="F8:G10"/>
    <mergeCell ref="B12:E12"/>
    <mergeCell ref="B11:E11"/>
    <mergeCell ref="B13:E13"/>
    <mergeCell ref="F11:G11"/>
    <mergeCell ref="F12:G12"/>
  </mergeCells>
  <printOptions horizontalCentered="1"/>
  <pageMargins left="0" right="0" top="0" bottom="0.78740157480314965" header="0" footer="0"/>
  <pageSetup paperSize="9" firstPageNumber="0" orientation="landscape" useFirstPageNumber="1" r:id="rId2"/>
  <headerFooter>
    <oddHeader>&amp;L&amp;"B Nazanin,Regular"&amp;P</oddHeader>
    <oddFooter>&amp;L&amp;"B Nazanin,Regular"نماینده کارفرما:&amp;C&amp;"B Nazanin,Regular"نظارت:&amp;R&amp;"B Nazanin,Regular"پیمانکار:</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97"/>
  <sheetViews>
    <sheetView rightToLeft="1" view="pageBreakPreview" zoomScale="110" zoomScaleSheetLayoutView="110" workbookViewId="0">
      <selection activeCell="J3" sqref="J3:L3"/>
    </sheetView>
  </sheetViews>
  <sheetFormatPr defaultColWidth="9.109375" defaultRowHeight="20.100000000000001" customHeight="1"/>
  <cols>
    <col min="1" max="1" width="5" style="4" customWidth="1"/>
    <col min="2" max="2" width="18.33203125" style="4" customWidth="1"/>
    <col min="3" max="3" width="12.44140625" style="4" customWidth="1"/>
    <col min="4" max="4" width="14" style="127" customWidth="1"/>
    <col min="5" max="5" width="11.33203125" style="105" customWidth="1"/>
    <col min="6" max="6" width="14.5546875" style="127" customWidth="1"/>
    <col min="7" max="7" width="11.33203125" style="105" customWidth="1"/>
    <col min="8" max="8" width="12.6640625" style="127" customWidth="1"/>
    <col min="9" max="9" width="12.109375" style="105" customWidth="1"/>
    <col min="10" max="10" width="9.44140625" style="4" customWidth="1"/>
    <col min="11" max="11" width="12.6640625" style="127" customWidth="1"/>
    <col min="12" max="12" width="12.6640625" style="105" customWidth="1"/>
    <col min="13" max="13" width="18.5546875" style="22" hidden="1" customWidth="1"/>
    <col min="14" max="14" width="15.88671875" style="25" hidden="1" customWidth="1"/>
    <col min="15" max="15" width="15.88671875" style="22" hidden="1" customWidth="1"/>
    <col min="16" max="16" width="16" style="9" customWidth="1"/>
    <col min="17" max="17" width="14.33203125" style="9" customWidth="1"/>
    <col min="18" max="18" width="9.5546875" style="4" bestFit="1" customWidth="1"/>
    <col min="19" max="16384" width="9.109375" style="4"/>
  </cols>
  <sheetData>
    <row r="1" spans="1:17" ht="25.5" customHeight="1">
      <c r="A1" s="521" t="str">
        <f>اطلاعات!B15</f>
        <v>کارفرما : اداره کل نوسازی مدارس استان ....</v>
      </c>
      <c r="B1" s="521"/>
      <c r="C1" s="521"/>
      <c r="D1" s="521"/>
      <c r="E1" s="523" t="str">
        <f>اطلاعات!B14</f>
        <v>موضوع قرارداد : ساختمان اداره کل نوسازی مدارس...</v>
      </c>
      <c r="F1" s="523"/>
      <c r="G1" s="523"/>
      <c r="H1" s="523"/>
      <c r="I1" s="523"/>
      <c r="J1" s="737" t="str">
        <f>اطلاعات!B16</f>
        <v xml:space="preserve"> قرارداد شماره :  1232579/ر/1399</v>
      </c>
      <c r="K1" s="737"/>
      <c r="L1" s="737"/>
    </row>
    <row r="2" spans="1:17" ht="25.5" customHeight="1">
      <c r="A2" s="522" t="str">
        <f>اطلاعات!B18</f>
        <v>پیمانکار :  مهندسین پیمانکار ....</v>
      </c>
      <c r="B2" s="522"/>
      <c r="C2" s="522"/>
      <c r="D2" s="522"/>
      <c r="E2" s="523"/>
      <c r="F2" s="523"/>
      <c r="G2" s="523"/>
      <c r="H2" s="523"/>
      <c r="I2" s="523"/>
      <c r="J2" s="737"/>
      <c r="K2" s="737"/>
      <c r="L2" s="737"/>
    </row>
    <row r="3" spans="1:17" ht="25.5" customHeight="1" thickBot="1">
      <c r="A3" s="738"/>
      <c r="B3" s="738"/>
      <c r="C3" s="518" t="s">
        <v>1828</v>
      </c>
      <c r="D3" s="518"/>
      <c r="E3" s="518"/>
      <c r="F3" s="518"/>
      <c r="G3" s="518"/>
      <c r="H3" s="518"/>
      <c r="I3" s="518"/>
      <c r="J3" s="519" t="str">
        <f>اطلاعات!B9</f>
        <v>دوره کارکرد :</v>
      </c>
      <c r="K3" s="519"/>
      <c r="L3" s="520"/>
    </row>
    <row r="4" spans="1:17" ht="39.75" customHeight="1" thickTop="1">
      <c r="A4" s="514" t="s">
        <v>18</v>
      </c>
      <c r="B4" s="516" t="s">
        <v>24</v>
      </c>
      <c r="C4" s="516" t="s">
        <v>122</v>
      </c>
      <c r="D4" s="508" t="s">
        <v>123</v>
      </c>
      <c r="E4" s="509"/>
      <c r="F4" s="508" t="s">
        <v>124</v>
      </c>
      <c r="G4" s="509"/>
      <c r="H4" s="508" t="s">
        <v>35</v>
      </c>
      <c r="I4" s="509"/>
      <c r="J4" s="90" t="s">
        <v>132</v>
      </c>
      <c r="K4" s="508" t="s">
        <v>64</v>
      </c>
      <c r="L4" s="510"/>
      <c r="M4" s="26"/>
      <c r="N4" s="27"/>
      <c r="O4" s="26"/>
      <c r="P4" s="63"/>
    </row>
    <row r="5" spans="1:17" ht="18" customHeight="1" thickBot="1">
      <c r="A5" s="515"/>
      <c r="B5" s="517"/>
      <c r="C5" s="517"/>
      <c r="D5" s="132" t="s">
        <v>130</v>
      </c>
      <c r="E5" s="103" t="s">
        <v>131</v>
      </c>
      <c r="F5" s="132" t="s">
        <v>130</v>
      </c>
      <c r="G5" s="103" t="s">
        <v>131</v>
      </c>
      <c r="H5" s="132" t="s">
        <v>130</v>
      </c>
      <c r="I5" s="103" t="s">
        <v>131</v>
      </c>
      <c r="J5" s="140" t="s">
        <v>215</v>
      </c>
      <c r="K5" s="132" t="s">
        <v>130</v>
      </c>
      <c r="L5" s="104" t="s">
        <v>131</v>
      </c>
      <c r="M5" s="26"/>
      <c r="N5" s="27"/>
      <c r="O5" s="26"/>
      <c r="P5" s="63"/>
    </row>
    <row r="6" spans="1:17" ht="36.75" hidden="1" customHeight="1">
      <c r="A6" s="6">
        <v>2</v>
      </c>
      <c r="B6" s="7" t="s">
        <v>0</v>
      </c>
      <c r="C6" s="8" t="e">
        <f>#REF!-E6</f>
        <v>#REF!</v>
      </c>
      <c r="D6" s="139">
        <v>1985289767</v>
      </c>
      <c r="E6" s="107">
        <v>1985289767</v>
      </c>
      <c r="F6" s="138"/>
      <c r="G6" s="108"/>
      <c r="H6" s="112"/>
      <c r="I6" s="106"/>
      <c r="J6" s="21"/>
      <c r="K6" s="133"/>
      <c r="L6" s="109"/>
      <c r="M6" s="24"/>
    </row>
    <row r="7" spans="1:17" ht="24.6" customHeight="1" thickTop="1">
      <c r="A7" s="79">
        <v>1</v>
      </c>
      <c r="B7" s="80" t="s">
        <v>26</v>
      </c>
      <c r="C7" s="166">
        <f>32397000*1.52035</f>
        <v>49254778.950000003</v>
      </c>
      <c r="D7" s="134">
        <v>0</v>
      </c>
      <c r="E7" s="85">
        <v>0</v>
      </c>
      <c r="F7" s="134">
        <v>0</v>
      </c>
      <c r="G7" s="85">
        <f t="shared" ref="G7:G34" si="0">I7-E7</f>
        <v>0</v>
      </c>
      <c r="H7" s="134">
        <v>0</v>
      </c>
      <c r="I7" s="87">
        <v>0</v>
      </c>
      <c r="J7" s="128">
        <f>1.1695*1.3</f>
        <v>1.5203500000000001</v>
      </c>
      <c r="K7" s="134">
        <f t="shared" ref="K7:K34" si="1">H7*J7</f>
        <v>0</v>
      </c>
      <c r="L7" s="91">
        <f t="shared" ref="L7:L34" si="2">I7*J7</f>
        <v>0</v>
      </c>
      <c r="M7" s="24" t="e">
        <f>O7-N7</f>
        <v>#REF!</v>
      </c>
      <c r="N7" s="25" t="e">
        <f>#REF!*J7</f>
        <v>#REF!</v>
      </c>
      <c r="O7" s="22">
        <f>L7</f>
        <v>0</v>
      </c>
      <c r="P7" s="62">
        <f>E7*J7</f>
        <v>0</v>
      </c>
    </row>
    <row r="8" spans="1:17" ht="24.6" customHeight="1">
      <c r="A8" s="79">
        <v>2</v>
      </c>
      <c r="B8" s="78" t="s">
        <v>25</v>
      </c>
      <c r="C8" s="166">
        <f>183519000*1.52035</f>
        <v>279013111.65000004</v>
      </c>
      <c r="D8" s="134">
        <v>626773885</v>
      </c>
      <c r="E8" s="85">
        <v>0</v>
      </c>
      <c r="F8" s="134">
        <f t="shared" ref="F8:F34" si="3">H8-D8</f>
        <v>1124169660</v>
      </c>
      <c r="G8" s="85">
        <f t="shared" si="0"/>
        <v>0</v>
      </c>
      <c r="H8" s="134">
        <f>'فصول ابنیه'!G15</f>
        <v>1750943545</v>
      </c>
      <c r="I8" s="87">
        <f>'فصول ابنیه'!H15</f>
        <v>0</v>
      </c>
      <c r="J8" s="128">
        <f>1.1695*1.3</f>
        <v>1.5203500000000001</v>
      </c>
      <c r="K8" s="134">
        <f>H8*J8</f>
        <v>2662047018.6407499</v>
      </c>
      <c r="L8" s="91">
        <f t="shared" si="2"/>
        <v>0</v>
      </c>
      <c r="M8" s="24" t="e">
        <f>O8-N8</f>
        <v>#REF!</v>
      </c>
      <c r="N8" s="25" t="e">
        <f>#REF!*J8</f>
        <v>#REF!</v>
      </c>
      <c r="O8" s="22">
        <f>L8</f>
        <v>0</v>
      </c>
      <c r="P8" s="62">
        <f t="shared" ref="P8:P34" si="4">E8*J8</f>
        <v>0</v>
      </c>
    </row>
    <row r="9" spans="1:17" ht="24.6" customHeight="1">
      <c r="A9" s="79">
        <v>3</v>
      </c>
      <c r="B9" s="82" t="s">
        <v>2</v>
      </c>
      <c r="C9" s="166">
        <f>917232500*1.52035</f>
        <v>1394514431.375</v>
      </c>
      <c r="D9" s="134">
        <v>3443085547</v>
      </c>
      <c r="E9" s="85">
        <v>0</v>
      </c>
      <c r="F9" s="134">
        <f t="shared" si="3"/>
        <v>0</v>
      </c>
      <c r="G9" s="227">
        <f t="shared" si="0"/>
        <v>0</v>
      </c>
      <c r="H9" s="134">
        <f>'فصول ابنیه'!G25</f>
        <v>3443085547</v>
      </c>
      <c r="I9" s="87">
        <f>'فصول ابنیه'!H25</f>
        <v>0</v>
      </c>
      <c r="J9" s="128">
        <f t="shared" ref="J9:J35" si="5">1.1695*1.3</f>
        <v>1.5203500000000001</v>
      </c>
      <c r="K9" s="134">
        <f t="shared" si="1"/>
        <v>5234695111.3814507</v>
      </c>
      <c r="L9" s="148">
        <f t="shared" si="2"/>
        <v>0</v>
      </c>
      <c r="M9" s="24">
        <f>O9-N9</f>
        <v>0</v>
      </c>
      <c r="N9" s="25">
        <f t="shared" ref="N9:N34" si="6">G9*J9</f>
        <v>0</v>
      </c>
      <c r="O9" s="22">
        <f>L9</f>
        <v>0</v>
      </c>
      <c r="P9" s="62">
        <f t="shared" si="4"/>
        <v>0</v>
      </c>
    </row>
    <row r="10" spans="1:17" ht="24.6" customHeight="1">
      <c r="A10" s="79">
        <v>4</v>
      </c>
      <c r="B10" s="78" t="s">
        <v>69</v>
      </c>
      <c r="C10" s="166">
        <f>311090000*1.52035</f>
        <v>472965681.5</v>
      </c>
      <c r="D10" s="134">
        <v>339194640</v>
      </c>
      <c r="E10" s="85">
        <v>0</v>
      </c>
      <c r="F10" s="134">
        <f t="shared" si="3"/>
        <v>18575000</v>
      </c>
      <c r="G10" s="85">
        <f t="shared" si="0"/>
        <v>0</v>
      </c>
      <c r="H10" s="134">
        <f>'فصول ابنیه'!G29</f>
        <v>357769640</v>
      </c>
      <c r="I10" s="87">
        <f>'فصول ابنیه'!H29</f>
        <v>0</v>
      </c>
      <c r="J10" s="128">
        <f t="shared" si="5"/>
        <v>1.5203500000000001</v>
      </c>
      <c r="K10" s="134">
        <f t="shared" si="1"/>
        <v>543935072.17400002</v>
      </c>
      <c r="L10" s="91">
        <f t="shared" si="2"/>
        <v>0</v>
      </c>
      <c r="M10" s="114">
        <f t="shared" ref="M10:M34" si="7">O10-N10</f>
        <v>0</v>
      </c>
      <c r="N10" s="113">
        <f t="shared" si="6"/>
        <v>0</v>
      </c>
      <c r="O10" s="22">
        <f>L10</f>
        <v>0</v>
      </c>
      <c r="P10" s="62">
        <f t="shared" si="4"/>
        <v>0</v>
      </c>
    </row>
    <row r="11" spans="1:17" ht="24.6" customHeight="1">
      <c r="A11" s="79">
        <v>5</v>
      </c>
      <c r="B11" s="80" t="s">
        <v>70</v>
      </c>
      <c r="C11" s="166"/>
      <c r="D11" s="134">
        <v>185198540</v>
      </c>
      <c r="E11" s="85">
        <v>0</v>
      </c>
      <c r="F11" s="134">
        <f t="shared" si="3"/>
        <v>50664500</v>
      </c>
      <c r="G11" s="85">
        <f t="shared" si="0"/>
        <v>0</v>
      </c>
      <c r="H11" s="134">
        <f>'فصول ابنیه'!G33</f>
        <v>235863040</v>
      </c>
      <c r="I11" s="87">
        <v>0</v>
      </c>
      <c r="J11" s="128">
        <f t="shared" si="5"/>
        <v>1.5203500000000001</v>
      </c>
      <c r="K11" s="134">
        <f t="shared" si="1"/>
        <v>358594372.86400002</v>
      </c>
      <c r="L11" s="91">
        <f t="shared" si="2"/>
        <v>0</v>
      </c>
      <c r="M11" s="114">
        <f t="shared" si="7"/>
        <v>0</v>
      </c>
      <c r="N11" s="113">
        <f t="shared" si="6"/>
        <v>0</v>
      </c>
      <c r="O11" s="22">
        <f t="shared" ref="O11:O34" si="8">L11</f>
        <v>0</v>
      </c>
      <c r="P11" s="62">
        <f t="shared" si="4"/>
        <v>0</v>
      </c>
    </row>
    <row r="12" spans="1:17" ht="24.6" customHeight="1">
      <c r="A12" s="79">
        <v>6</v>
      </c>
      <c r="B12" s="80" t="s">
        <v>71</v>
      </c>
      <c r="C12" s="166">
        <f>1709130000*1.52035</f>
        <v>2598475795.5</v>
      </c>
      <c r="D12" s="134">
        <v>2179786258</v>
      </c>
      <c r="E12" s="85">
        <v>0</v>
      </c>
      <c r="F12" s="134">
        <f t="shared" si="3"/>
        <v>111658610</v>
      </c>
      <c r="G12" s="227">
        <f t="shared" si="0"/>
        <v>0</v>
      </c>
      <c r="H12" s="134">
        <f>'فصول ابنیه'!G42</f>
        <v>2291444868</v>
      </c>
      <c r="I12" s="229">
        <f>'فصول ابنیه'!H42</f>
        <v>0</v>
      </c>
      <c r="J12" s="128">
        <f t="shared" si="5"/>
        <v>1.5203500000000001</v>
      </c>
      <c r="K12" s="134">
        <f t="shared" si="1"/>
        <v>3483798205.0638003</v>
      </c>
      <c r="L12" s="148">
        <f t="shared" si="2"/>
        <v>0</v>
      </c>
      <c r="M12" s="114">
        <f t="shared" si="7"/>
        <v>0</v>
      </c>
      <c r="N12" s="113">
        <f t="shared" si="6"/>
        <v>0</v>
      </c>
      <c r="O12" s="22">
        <f t="shared" si="8"/>
        <v>0</v>
      </c>
      <c r="P12" s="62">
        <f t="shared" si="4"/>
        <v>0</v>
      </c>
    </row>
    <row r="13" spans="1:17" ht="24.6" customHeight="1">
      <c r="A13" s="79">
        <v>7</v>
      </c>
      <c r="B13" s="273" t="s">
        <v>72</v>
      </c>
      <c r="C13" s="166">
        <f>4005350000*1.52035</f>
        <v>6089533872.5</v>
      </c>
      <c r="D13" s="134">
        <v>5390803249</v>
      </c>
      <c r="E13" s="227">
        <v>0</v>
      </c>
      <c r="F13" s="134">
        <f t="shared" si="3"/>
        <v>1200727044</v>
      </c>
      <c r="G13" s="85">
        <f t="shared" si="0"/>
        <v>0</v>
      </c>
      <c r="H13" s="134">
        <f>'فصول ابنیه'!G51</f>
        <v>6591530293</v>
      </c>
      <c r="I13" s="229">
        <f>'فصول ابنیه'!H51</f>
        <v>0</v>
      </c>
      <c r="J13" s="128">
        <f t="shared" si="5"/>
        <v>1.5203500000000001</v>
      </c>
      <c r="K13" s="152">
        <f t="shared" si="1"/>
        <v>10021433080.962551</v>
      </c>
      <c r="L13" s="148">
        <f t="shared" si="2"/>
        <v>0</v>
      </c>
      <c r="M13" s="114">
        <f t="shared" si="7"/>
        <v>0</v>
      </c>
      <c r="N13" s="113">
        <f t="shared" si="6"/>
        <v>0</v>
      </c>
      <c r="O13" s="22">
        <f t="shared" si="8"/>
        <v>0</v>
      </c>
      <c r="P13" s="62">
        <f t="shared" si="4"/>
        <v>0</v>
      </c>
    </row>
    <row r="14" spans="1:17" ht="24.6" customHeight="1">
      <c r="A14" s="79">
        <v>8</v>
      </c>
      <c r="B14" s="80" t="s">
        <v>3</v>
      </c>
      <c r="C14" s="166">
        <f>2441705000*1.52035</f>
        <v>3712246196.75</v>
      </c>
      <c r="D14" s="134">
        <v>1543095298</v>
      </c>
      <c r="E14" s="85">
        <v>0</v>
      </c>
      <c r="F14" s="134">
        <f t="shared" si="3"/>
        <v>464141370</v>
      </c>
      <c r="G14" s="85">
        <f t="shared" si="0"/>
        <v>0</v>
      </c>
      <c r="H14" s="134">
        <f>'فصول ابنیه'!G63</f>
        <v>2007236668</v>
      </c>
      <c r="I14" s="87">
        <f>'فصول ابنیه'!H63</f>
        <v>0</v>
      </c>
      <c r="J14" s="128">
        <f t="shared" si="5"/>
        <v>1.5203500000000001</v>
      </c>
      <c r="K14" s="134">
        <f t="shared" si="1"/>
        <v>3051702268.1938</v>
      </c>
      <c r="L14" s="91">
        <f t="shared" si="2"/>
        <v>0</v>
      </c>
      <c r="M14" s="114">
        <f t="shared" si="7"/>
        <v>0</v>
      </c>
      <c r="N14" s="113">
        <f t="shared" si="6"/>
        <v>0</v>
      </c>
      <c r="O14" s="22">
        <f t="shared" si="8"/>
        <v>0</v>
      </c>
      <c r="P14" s="62">
        <f t="shared" si="4"/>
        <v>0</v>
      </c>
      <c r="Q14" s="5"/>
    </row>
    <row r="15" spans="1:17" ht="24.6" customHeight="1">
      <c r="A15" s="79">
        <v>9</v>
      </c>
      <c r="B15" s="78" t="s">
        <v>73</v>
      </c>
      <c r="C15" s="166">
        <f>431000000*1.52035</f>
        <v>655270850</v>
      </c>
      <c r="D15" s="134">
        <v>183345405</v>
      </c>
      <c r="E15" s="88">
        <v>0</v>
      </c>
      <c r="F15" s="152">
        <f t="shared" si="3"/>
        <v>2294290</v>
      </c>
      <c r="G15" s="88">
        <f t="shared" si="0"/>
        <v>0</v>
      </c>
      <c r="H15" s="134">
        <f>'فصول ابنیه'!G70</f>
        <v>185639695</v>
      </c>
      <c r="I15" s="89">
        <f>'فصول ابنیه'!H70</f>
        <v>0</v>
      </c>
      <c r="J15" s="128">
        <f t="shared" si="5"/>
        <v>1.5203500000000001</v>
      </c>
      <c r="K15" s="134">
        <f t="shared" si="1"/>
        <v>282237310.29325002</v>
      </c>
      <c r="L15" s="92">
        <f t="shared" si="2"/>
        <v>0</v>
      </c>
      <c r="M15" s="114">
        <f t="shared" si="7"/>
        <v>0</v>
      </c>
      <c r="N15" s="113">
        <f t="shared" si="6"/>
        <v>0</v>
      </c>
      <c r="O15" s="22">
        <f t="shared" si="8"/>
        <v>0</v>
      </c>
      <c r="P15" s="62">
        <f t="shared" si="4"/>
        <v>0</v>
      </c>
    </row>
    <row r="16" spans="1:17" ht="24.6" customHeight="1">
      <c r="A16" s="84">
        <v>10</v>
      </c>
      <c r="B16" s="161" t="s">
        <v>74</v>
      </c>
      <c r="C16" s="167">
        <f>1964480000*1.52035</f>
        <v>2986697168</v>
      </c>
      <c r="D16" s="135">
        <v>1280920767</v>
      </c>
      <c r="E16" s="64">
        <v>0</v>
      </c>
      <c r="F16" s="135">
        <f t="shared" si="3"/>
        <v>802281354</v>
      </c>
      <c r="G16" s="64">
        <f t="shared" si="0"/>
        <v>0</v>
      </c>
      <c r="H16" s="135">
        <f>'فصول ابنیه'!G74</f>
        <v>2083202121</v>
      </c>
      <c r="I16" s="83">
        <f>'فصول ابنیه'!H74</f>
        <v>0</v>
      </c>
      <c r="J16" s="128">
        <f t="shared" si="5"/>
        <v>1.5203500000000001</v>
      </c>
      <c r="K16" s="135">
        <f t="shared" si="1"/>
        <v>3167196344.6623502</v>
      </c>
      <c r="L16" s="95">
        <f t="shared" si="2"/>
        <v>0</v>
      </c>
      <c r="M16" s="150">
        <f t="shared" si="7"/>
        <v>0</v>
      </c>
      <c r="N16" s="122">
        <f t="shared" si="6"/>
        <v>0</v>
      </c>
      <c r="O16" s="22">
        <f t="shared" si="8"/>
        <v>0</v>
      </c>
      <c r="P16" s="62">
        <f t="shared" si="4"/>
        <v>0</v>
      </c>
    </row>
    <row r="17" spans="1:16" ht="24.6" customHeight="1">
      <c r="A17" s="157">
        <v>11</v>
      </c>
      <c r="B17" s="158" t="s">
        <v>75</v>
      </c>
      <c r="C17" s="168">
        <f>4205686400*1.52035</f>
        <v>6394115318.2400007</v>
      </c>
      <c r="D17" s="136">
        <v>2929451825</v>
      </c>
      <c r="E17" s="159">
        <v>0</v>
      </c>
      <c r="F17" s="136">
        <f t="shared" si="3"/>
        <v>566845220</v>
      </c>
      <c r="G17" s="159">
        <f t="shared" si="0"/>
        <v>0</v>
      </c>
      <c r="H17" s="136">
        <f>'فصول ابنیه'!G82</f>
        <v>3496297045</v>
      </c>
      <c r="I17" s="125">
        <f>'فصول ابنیه'!H85</f>
        <v>0</v>
      </c>
      <c r="J17" s="128">
        <f t="shared" si="5"/>
        <v>1.5203500000000001</v>
      </c>
      <c r="K17" s="136">
        <f t="shared" si="1"/>
        <v>5315595212.3657503</v>
      </c>
      <c r="L17" s="121">
        <f t="shared" si="2"/>
        <v>0</v>
      </c>
      <c r="M17" s="114">
        <f t="shared" si="7"/>
        <v>0</v>
      </c>
      <c r="N17" s="113">
        <f t="shared" si="6"/>
        <v>0</v>
      </c>
      <c r="O17" s="22">
        <f t="shared" si="8"/>
        <v>0</v>
      </c>
      <c r="P17" s="62">
        <f t="shared" si="4"/>
        <v>0</v>
      </c>
    </row>
    <row r="18" spans="1:16" ht="24.6" customHeight="1">
      <c r="A18" s="79">
        <v>12</v>
      </c>
      <c r="B18" s="274" t="s">
        <v>76</v>
      </c>
      <c r="C18" s="166"/>
      <c r="D18" s="134">
        <v>0</v>
      </c>
      <c r="E18" s="85">
        <v>0</v>
      </c>
      <c r="F18" s="134">
        <f t="shared" si="3"/>
        <v>0</v>
      </c>
      <c r="G18" s="85">
        <f t="shared" si="0"/>
        <v>0</v>
      </c>
      <c r="H18" s="134">
        <v>0</v>
      </c>
      <c r="I18" s="87">
        <v>0</v>
      </c>
      <c r="J18" s="128">
        <f t="shared" si="5"/>
        <v>1.5203500000000001</v>
      </c>
      <c r="K18" s="134">
        <f t="shared" si="1"/>
        <v>0</v>
      </c>
      <c r="L18" s="91">
        <f t="shared" si="2"/>
        <v>0</v>
      </c>
      <c r="M18" s="114">
        <f t="shared" si="7"/>
        <v>0</v>
      </c>
      <c r="N18" s="113">
        <f t="shared" si="6"/>
        <v>0</v>
      </c>
      <c r="O18" s="22">
        <f t="shared" si="8"/>
        <v>0</v>
      </c>
      <c r="P18" s="62">
        <f t="shared" si="4"/>
        <v>0</v>
      </c>
    </row>
    <row r="19" spans="1:16" ht="24.6" customHeight="1">
      <c r="A19" s="79">
        <v>13</v>
      </c>
      <c r="B19" s="80" t="s">
        <v>77</v>
      </c>
      <c r="C19" s="166">
        <f>720700000*1.52035</f>
        <v>1095716245</v>
      </c>
      <c r="D19" s="134">
        <v>213713240</v>
      </c>
      <c r="E19" s="85">
        <v>0</v>
      </c>
      <c r="F19" s="134">
        <f t="shared" si="3"/>
        <v>0</v>
      </c>
      <c r="G19" s="85">
        <f t="shared" si="0"/>
        <v>0</v>
      </c>
      <c r="H19" s="134">
        <f>'فصول ابنیه'!G85</f>
        <v>213713240</v>
      </c>
      <c r="I19" s="87">
        <f>'فصول ابنیه'!H85</f>
        <v>0</v>
      </c>
      <c r="J19" s="128">
        <f t="shared" si="5"/>
        <v>1.5203500000000001</v>
      </c>
      <c r="K19" s="134">
        <f t="shared" si="1"/>
        <v>324918924.43400002</v>
      </c>
      <c r="L19" s="91">
        <f t="shared" si="2"/>
        <v>0</v>
      </c>
      <c r="M19" s="114">
        <f t="shared" si="7"/>
        <v>0</v>
      </c>
      <c r="N19" s="113">
        <f t="shared" si="6"/>
        <v>0</v>
      </c>
      <c r="O19" s="22">
        <f t="shared" si="8"/>
        <v>0</v>
      </c>
      <c r="P19" s="62">
        <f t="shared" si="4"/>
        <v>0</v>
      </c>
    </row>
    <row r="20" spans="1:16" ht="24.6" customHeight="1">
      <c r="A20" s="84">
        <v>14</v>
      </c>
      <c r="B20" s="93" t="s">
        <v>78</v>
      </c>
      <c r="C20" s="167"/>
      <c r="D20" s="135">
        <v>0</v>
      </c>
      <c r="E20" s="64">
        <v>0</v>
      </c>
      <c r="F20" s="135">
        <f t="shared" si="3"/>
        <v>0</v>
      </c>
      <c r="G20" s="64">
        <f t="shared" si="0"/>
        <v>0</v>
      </c>
      <c r="H20" s="135">
        <v>0</v>
      </c>
      <c r="I20" s="94">
        <v>0</v>
      </c>
      <c r="J20" s="262">
        <f t="shared" si="5"/>
        <v>1.5203500000000001</v>
      </c>
      <c r="K20" s="135">
        <f t="shared" si="1"/>
        <v>0</v>
      </c>
      <c r="L20" s="95">
        <f t="shared" si="2"/>
        <v>0</v>
      </c>
      <c r="M20" s="114">
        <f t="shared" si="7"/>
        <v>0</v>
      </c>
      <c r="N20" s="113">
        <f t="shared" si="6"/>
        <v>0</v>
      </c>
      <c r="O20" s="22">
        <f t="shared" si="8"/>
        <v>0</v>
      </c>
      <c r="P20" s="62">
        <f t="shared" si="4"/>
        <v>0</v>
      </c>
    </row>
    <row r="21" spans="1:16" ht="24.6" customHeight="1">
      <c r="A21" s="84">
        <v>15</v>
      </c>
      <c r="B21" s="93" t="s">
        <v>79</v>
      </c>
      <c r="C21" s="167"/>
      <c r="D21" s="135">
        <v>0</v>
      </c>
      <c r="E21" s="64">
        <v>0</v>
      </c>
      <c r="F21" s="135">
        <f t="shared" si="3"/>
        <v>0</v>
      </c>
      <c r="G21" s="64">
        <f t="shared" si="0"/>
        <v>0</v>
      </c>
      <c r="H21" s="135">
        <v>0</v>
      </c>
      <c r="I21" s="94">
        <v>0</v>
      </c>
      <c r="J21" s="128">
        <f t="shared" si="5"/>
        <v>1.5203500000000001</v>
      </c>
      <c r="K21" s="135">
        <f t="shared" si="1"/>
        <v>0</v>
      </c>
      <c r="L21" s="95">
        <f t="shared" si="2"/>
        <v>0</v>
      </c>
      <c r="M21" s="114">
        <f t="shared" si="7"/>
        <v>0</v>
      </c>
      <c r="N21" s="113">
        <f t="shared" si="6"/>
        <v>0</v>
      </c>
      <c r="O21" s="22">
        <f t="shared" si="8"/>
        <v>0</v>
      </c>
      <c r="P21" s="62">
        <f t="shared" si="4"/>
        <v>0</v>
      </c>
    </row>
    <row r="22" spans="1:16" ht="24.6" customHeight="1">
      <c r="A22" s="84">
        <v>16</v>
      </c>
      <c r="B22" s="93" t="s">
        <v>80</v>
      </c>
      <c r="C22" s="167">
        <f>1485310000*1.52035</f>
        <v>2258191058.5</v>
      </c>
      <c r="D22" s="135">
        <v>0</v>
      </c>
      <c r="E22" s="64">
        <v>0</v>
      </c>
      <c r="F22" s="135">
        <f t="shared" si="3"/>
        <v>44415000</v>
      </c>
      <c r="G22" s="64">
        <f t="shared" si="0"/>
        <v>0</v>
      </c>
      <c r="H22" s="135">
        <f>'فصول ابنیه'!G88</f>
        <v>44415000</v>
      </c>
      <c r="I22" s="94">
        <v>0</v>
      </c>
      <c r="J22" s="262">
        <f t="shared" si="5"/>
        <v>1.5203500000000001</v>
      </c>
      <c r="K22" s="135">
        <f t="shared" si="1"/>
        <v>67526345.25</v>
      </c>
      <c r="L22" s="95">
        <f t="shared" si="2"/>
        <v>0</v>
      </c>
      <c r="M22" s="114">
        <f t="shared" si="7"/>
        <v>0</v>
      </c>
      <c r="N22" s="113">
        <f t="shared" si="6"/>
        <v>0</v>
      </c>
      <c r="O22" s="22">
        <f t="shared" si="8"/>
        <v>0</v>
      </c>
      <c r="P22" s="62">
        <f t="shared" si="4"/>
        <v>0</v>
      </c>
    </row>
    <row r="23" spans="1:16" ht="24.6" customHeight="1">
      <c r="A23" s="79">
        <v>17</v>
      </c>
      <c r="B23" s="82" t="s">
        <v>81</v>
      </c>
      <c r="C23" s="166">
        <f>51650000*1.52035</f>
        <v>78526077.5</v>
      </c>
      <c r="D23" s="134">
        <v>0</v>
      </c>
      <c r="E23" s="85">
        <v>0</v>
      </c>
      <c r="F23" s="134">
        <f t="shared" si="3"/>
        <v>0</v>
      </c>
      <c r="G23" s="85">
        <f t="shared" si="0"/>
        <v>0</v>
      </c>
      <c r="H23" s="153">
        <v>0</v>
      </c>
      <c r="I23" s="87">
        <v>0</v>
      </c>
      <c r="J23" s="128">
        <f t="shared" si="5"/>
        <v>1.5203500000000001</v>
      </c>
      <c r="K23" s="134">
        <f t="shared" si="1"/>
        <v>0</v>
      </c>
      <c r="L23" s="154">
        <f t="shared" si="2"/>
        <v>0</v>
      </c>
      <c r="M23" s="114">
        <f t="shared" si="7"/>
        <v>0</v>
      </c>
      <c r="N23" s="113">
        <f t="shared" si="6"/>
        <v>0</v>
      </c>
      <c r="O23" s="22">
        <f t="shared" si="8"/>
        <v>0</v>
      </c>
      <c r="P23" s="62">
        <f t="shared" si="4"/>
        <v>0</v>
      </c>
    </row>
    <row r="24" spans="1:16" ht="24.6" customHeight="1">
      <c r="A24" s="84">
        <v>18</v>
      </c>
      <c r="B24" s="93" t="s">
        <v>82</v>
      </c>
      <c r="C24" s="167">
        <f>1587445000*1.52035</f>
        <v>2413472005.75</v>
      </c>
      <c r="D24" s="135">
        <v>572814353</v>
      </c>
      <c r="E24" s="64">
        <v>0</v>
      </c>
      <c r="F24" s="135">
        <f t="shared" si="3"/>
        <v>211088987</v>
      </c>
      <c r="G24" s="64">
        <f t="shared" si="0"/>
        <v>0</v>
      </c>
      <c r="H24" s="135">
        <f>'فصول ابنیه'!G94</f>
        <v>783903340</v>
      </c>
      <c r="I24" s="94">
        <f>'فصول ابنیه'!H94</f>
        <v>0</v>
      </c>
      <c r="J24" s="128">
        <f t="shared" si="5"/>
        <v>1.5203500000000001</v>
      </c>
      <c r="K24" s="135">
        <f t="shared" si="1"/>
        <v>1191807442.9690001</v>
      </c>
      <c r="L24" s="95">
        <f t="shared" si="2"/>
        <v>0</v>
      </c>
      <c r="M24" s="150">
        <f t="shared" si="7"/>
        <v>0</v>
      </c>
      <c r="N24" s="122">
        <f t="shared" si="6"/>
        <v>0</v>
      </c>
      <c r="O24" s="22">
        <f t="shared" si="8"/>
        <v>0</v>
      </c>
      <c r="P24" s="62">
        <f t="shared" si="4"/>
        <v>0</v>
      </c>
    </row>
    <row r="25" spans="1:16" ht="24.6" customHeight="1">
      <c r="A25" s="157">
        <v>19</v>
      </c>
      <c r="B25" s="162" t="s">
        <v>83</v>
      </c>
      <c r="C25" s="169">
        <f>257500000*1.52035</f>
        <v>391490125</v>
      </c>
      <c r="D25" s="136">
        <v>0</v>
      </c>
      <c r="E25" s="159">
        <v>0</v>
      </c>
      <c r="F25" s="136">
        <f t="shared" si="3"/>
        <v>0</v>
      </c>
      <c r="G25" s="159">
        <f t="shared" si="0"/>
        <v>0</v>
      </c>
      <c r="H25" s="136">
        <v>0</v>
      </c>
      <c r="I25" s="125">
        <v>0</v>
      </c>
      <c r="J25" s="128">
        <f t="shared" si="5"/>
        <v>1.5203500000000001</v>
      </c>
      <c r="K25" s="136">
        <f t="shared" si="1"/>
        <v>0</v>
      </c>
      <c r="L25" s="121">
        <f t="shared" si="2"/>
        <v>0</v>
      </c>
      <c r="M25" s="114">
        <f t="shared" si="7"/>
        <v>0</v>
      </c>
      <c r="N25" s="113">
        <f t="shared" si="6"/>
        <v>0</v>
      </c>
      <c r="O25" s="22">
        <f t="shared" si="8"/>
        <v>0</v>
      </c>
      <c r="P25" s="62">
        <f t="shared" si="4"/>
        <v>0</v>
      </c>
    </row>
    <row r="26" spans="1:16" ht="24.6" customHeight="1">
      <c r="A26" s="79">
        <v>20</v>
      </c>
      <c r="B26" s="81" t="s">
        <v>84</v>
      </c>
      <c r="C26" s="166">
        <f>53470000*1.52035</f>
        <v>81293114.5</v>
      </c>
      <c r="D26" s="134">
        <v>0</v>
      </c>
      <c r="E26" s="85">
        <v>0</v>
      </c>
      <c r="F26" s="134">
        <f t="shared" si="3"/>
        <v>0</v>
      </c>
      <c r="G26" s="85">
        <f t="shared" si="0"/>
        <v>0</v>
      </c>
      <c r="H26" s="134">
        <v>0</v>
      </c>
      <c r="I26" s="87">
        <v>0</v>
      </c>
      <c r="J26" s="128">
        <f t="shared" si="5"/>
        <v>1.5203500000000001</v>
      </c>
      <c r="K26" s="134">
        <f t="shared" si="1"/>
        <v>0</v>
      </c>
      <c r="L26" s="91">
        <f t="shared" si="2"/>
        <v>0</v>
      </c>
      <c r="M26" s="114">
        <f t="shared" si="7"/>
        <v>0</v>
      </c>
      <c r="N26" s="113">
        <f t="shared" si="6"/>
        <v>0</v>
      </c>
      <c r="O26" s="22">
        <f t="shared" si="8"/>
        <v>0</v>
      </c>
      <c r="P26" s="62">
        <f t="shared" si="4"/>
        <v>0</v>
      </c>
    </row>
    <row r="27" spans="1:16" ht="24.6" customHeight="1">
      <c r="A27" s="79">
        <v>21</v>
      </c>
      <c r="B27" s="81" t="s">
        <v>85</v>
      </c>
      <c r="C27" s="166">
        <f>463000000*1.52035</f>
        <v>703922050</v>
      </c>
      <c r="D27" s="134">
        <v>0</v>
      </c>
      <c r="E27" s="85">
        <v>0</v>
      </c>
      <c r="F27" s="134">
        <f t="shared" si="3"/>
        <v>0</v>
      </c>
      <c r="G27" s="85">
        <f t="shared" si="0"/>
        <v>0</v>
      </c>
      <c r="H27" s="134">
        <v>0</v>
      </c>
      <c r="I27" s="87">
        <v>0</v>
      </c>
      <c r="J27" s="128">
        <f t="shared" si="5"/>
        <v>1.5203500000000001</v>
      </c>
      <c r="K27" s="134">
        <f t="shared" si="1"/>
        <v>0</v>
      </c>
      <c r="L27" s="91">
        <f t="shared" si="2"/>
        <v>0</v>
      </c>
      <c r="M27" s="114">
        <f t="shared" si="7"/>
        <v>0</v>
      </c>
      <c r="N27" s="113">
        <f t="shared" si="6"/>
        <v>0</v>
      </c>
      <c r="O27" s="22">
        <f t="shared" si="8"/>
        <v>0</v>
      </c>
      <c r="P27" s="62">
        <f t="shared" si="4"/>
        <v>0</v>
      </c>
    </row>
    <row r="28" spans="1:16" ht="24.6" customHeight="1">
      <c r="A28" s="79">
        <v>22</v>
      </c>
      <c r="B28" s="252" t="s">
        <v>86</v>
      </c>
      <c r="C28" s="166">
        <f>2979280000*1.52035</f>
        <v>4529548348</v>
      </c>
      <c r="D28" s="134">
        <v>0</v>
      </c>
      <c r="E28" s="85">
        <v>0</v>
      </c>
      <c r="F28" s="134">
        <f t="shared" si="3"/>
        <v>445615100</v>
      </c>
      <c r="G28" s="85">
        <f t="shared" si="0"/>
        <v>0</v>
      </c>
      <c r="H28" s="134">
        <f>'فصول ابنیه'!G99</f>
        <v>445615100</v>
      </c>
      <c r="I28" s="87">
        <v>0</v>
      </c>
      <c r="J28" s="128">
        <f t="shared" si="5"/>
        <v>1.5203500000000001</v>
      </c>
      <c r="K28" s="134">
        <f t="shared" si="1"/>
        <v>677490917.28500009</v>
      </c>
      <c r="L28" s="91">
        <f t="shared" si="2"/>
        <v>0</v>
      </c>
      <c r="M28" s="114">
        <f t="shared" si="7"/>
        <v>0</v>
      </c>
      <c r="N28" s="113">
        <f t="shared" si="6"/>
        <v>0</v>
      </c>
      <c r="O28" s="22">
        <f t="shared" si="8"/>
        <v>0</v>
      </c>
      <c r="P28" s="62">
        <f t="shared" si="4"/>
        <v>0</v>
      </c>
    </row>
    <row r="29" spans="1:16" s="9" customFormat="1" ht="24.6" customHeight="1">
      <c r="A29" s="79">
        <v>23</v>
      </c>
      <c r="B29" s="81" t="s">
        <v>87</v>
      </c>
      <c r="C29" s="166">
        <f>32730000*1.52035</f>
        <v>49761055.5</v>
      </c>
      <c r="D29" s="134">
        <v>13456748</v>
      </c>
      <c r="E29" s="85">
        <v>0</v>
      </c>
      <c r="F29" s="134">
        <f t="shared" si="3"/>
        <v>3144100</v>
      </c>
      <c r="G29" s="85">
        <f t="shared" si="0"/>
        <v>0</v>
      </c>
      <c r="H29" s="134">
        <f>'فصول ابنیه'!G103</f>
        <v>16600848</v>
      </c>
      <c r="I29" s="87">
        <f>'فصول ابنیه'!H103</f>
        <v>0</v>
      </c>
      <c r="J29" s="128">
        <f t="shared" si="5"/>
        <v>1.5203500000000001</v>
      </c>
      <c r="K29" s="134">
        <f t="shared" si="1"/>
        <v>25239099.256800003</v>
      </c>
      <c r="L29" s="148">
        <f t="shared" si="2"/>
        <v>0</v>
      </c>
      <c r="M29" s="114">
        <f t="shared" si="7"/>
        <v>0</v>
      </c>
      <c r="N29" s="113">
        <f t="shared" si="6"/>
        <v>0</v>
      </c>
      <c r="O29" s="22">
        <f t="shared" si="8"/>
        <v>0</v>
      </c>
      <c r="P29" s="62">
        <f t="shared" si="4"/>
        <v>0</v>
      </c>
    </row>
    <row r="30" spans="1:16" s="9" customFormat="1" ht="24.6" customHeight="1">
      <c r="A30" s="79">
        <v>24</v>
      </c>
      <c r="B30" s="81" t="s">
        <v>88</v>
      </c>
      <c r="C30" s="166">
        <f>231205000*1.52035</f>
        <v>351512521.75</v>
      </c>
      <c r="D30" s="134">
        <v>0</v>
      </c>
      <c r="E30" s="85">
        <v>0</v>
      </c>
      <c r="F30" s="134">
        <f t="shared" si="3"/>
        <v>0</v>
      </c>
      <c r="G30" s="85">
        <f t="shared" si="0"/>
        <v>0</v>
      </c>
      <c r="H30" s="134">
        <v>0</v>
      </c>
      <c r="I30" s="87">
        <v>0</v>
      </c>
      <c r="J30" s="128">
        <f t="shared" si="5"/>
        <v>1.5203500000000001</v>
      </c>
      <c r="K30" s="134">
        <f t="shared" si="1"/>
        <v>0</v>
      </c>
      <c r="L30" s="91">
        <f t="shared" si="2"/>
        <v>0</v>
      </c>
      <c r="M30" s="114">
        <f t="shared" si="7"/>
        <v>0</v>
      </c>
      <c r="N30" s="113">
        <f t="shared" si="6"/>
        <v>0</v>
      </c>
      <c r="O30" s="22">
        <f t="shared" si="8"/>
        <v>0</v>
      </c>
      <c r="P30" s="62">
        <f t="shared" si="4"/>
        <v>0</v>
      </c>
    </row>
    <row r="31" spans="1:16" s="9" customFormat="1" ht="24.6" customHeight="1">
      <c r="A31" s="79">
        <v>25</v>
      </c>
      <c r="B31" s="81" t="s">
        <v>90</v>
      </c>
      <c r="C31" s="166">
        <f>259370000*1.52035</f>
        <v>394333179.5</v>
      </c>
      <c r="D31" s="134">
        <v>0</v>
      </c>
      <c r="E31" s="85">
        <v>0</v>
      </c>
      <c r="F31" s="134">
        <f t="shared" si="3"/>
        <v>0</v>
      </c>
      <c r="G31" s="85">
        <f t="shared" si="0"/>
        <v>0</v>
      </c>
      <c r="H31" s="134">
        <v>0</v>
      </c>
      <c r="I31" s="87">
        <v>0</v>
      </c>
      <c r="J31" s="128">
        <f t="shared" si="5"/>
        <v>1.5203500000000001</v>
      </c>
      <c r="K31" s="134">
        <f t="shared" si="1"/>
        <v>0</v>
      </c>
      <c r="L31" s="91">
        <f t="shared" si="2"/>
        <v>0</v>
      </c>
      <c r="M31" s="114">
        <f t="shared" si="7"/>
        <v>0</v>
      </c>
      <c r="N31" s="113">
        <f t="shared" si="6"/>
        <v>0</v>
      </c>
      <c r="O31" s="22">
        <f t="shared" si="8"/>
        <v>0</v>
      </c>
      <c r="P31" s="62">
        <f t="shared" si="4"/>
        <v>0</v>
      </c>
    </row>
    <row r="32" spans="1:16" s="9" customFormat="1" ht="24.6" customHeight="1">
      <c r="A32" s="79">
        <v>26</v>
      </c>
      <c r="B32" s="81" t="s">
        <v>89</v>
      </c>
      <c r="C32" s="166">
        <v>0</v>
      </c>
      <c r="D32" s="134">
        <v>0</v>
      </c>
      <c r="E32" s="85">
        <v>0</v>
      </c>
      <c r="F32" s="134">
        <f t="shared" si="3"/>
        <v>0</v>
      </c>
      <c r="G32" s="85">
        <f t="shared" si="0"/>
        <v>0</v>
      </c>
      <c r="H32" s="134">
        <v>0</v>
      </c>
      <c r="I32" s="94">
        <v>0</v>
      </c>
      <c r="J32" s="128">
        <f t="shared" si="5"/>
        <v>1.5203500000000001</v>
      </c>
      <c r="K32" s="135">
        <f t="shared" si="1"/>
        <v>0</v>
      </c>
      <c r="L32" s="95">
        <f t="shared" si="2"/>
        <v>0</v>
      </c>
      <c r="M32" s="123">
        <f t="shared" si="7"/>
        <v>0</v>
      </c>
      <c r="N32" s="122">
        <f t="shared" si="6"/>
        <v>0</v>
      </c>
      <c r="O32" s="22">
        <f t="shared" si="8"/>
        <v>0</v>
      </c>
      <c r="P32" s="62">
        <f t="shared" si="4"/>
        <v>0</v>
      </c>
    </row>
    <row r="33" spans="1:16" s="9" customFormat="1" ht="24.6" customHeight="1">
      <c r="A33" s="84">
        <v>27</v>
      </c>
      <c r="B33" s="93" t="s">
        <v>6</v>
      </c>
      <c r="C33" s="167">
        <v>0</v>
      </c>
      <c r="D33" s="135">
        <v>0</v>
      </c>
      <c r="E33" s="64">
        <v>0</v>
      </c>
      <c r="F33" s="135">
        <f t="shared" si="3"/>
        <v>0</v>
      </c>
      <c r="G33" s="64">
        <f t="shared" si="0"/>
        <v>0</v>
      </c>
      <c r="H33" s="135">
        <v>0</v>
      </c>
      <c r="I33" s="163">
        <v>0</v>
      </c>
      <c r="J33" s="128">
        <f t="shared" si="5"/>
        <v>1.5203500000000001</v>
      </c>
      <c r="K33" s="164">
        <f t="shared" si="1"/>
        <v>0</v>
      </c>
      <c r="L33" s="165">
        <f t="shared" si="2"/>
        <v>0</v>
      </c>
      <c r="M33" s="150">
        <f t="shared" si="7"/>
        <v>0</v>
      </c>
      <c r="N33" s="122">
        <f t="shared" si="6"/>
        <v>0</v>
      </c>
      <c r="O33" s="22">
        <f t="shared" si="8"/>
        <v>0</v>
      </c>
      <c r="P33" s="62">
        <f t="shared" si="4"/>
        <v>0</v>
      </c>
    </row>
    <row r="34" spans="1:16" s="9" customFormat="1" ht="24.6" customHeight="1">
      <c r="A34" s="84">
        <v>28</v>
      </c>
      <c r="B34" s="93" t="s">
        <v>4</v>
      </c>
      <c r="C34" s="167">
        <f>67950000*1.52035</f>
        <v>103307782.5</v>
      </c>
      <c r="D34" s="135">
        <v>188948153</v>
      </c>
      <c r="E34" s="64">
        <v>0</v>
      </c>
      <c r="F34" s="135">
        <f t="shared" si="3"/>
        <v>24680677</v>
      </c>
      <c r="G34" s="64">
        <f t="shared" si="0"/>
        <v>0</v>
      </c>
      <c r="H34" s="135">
        <f>'فصول ابنیه'!G108</f>
        <v>213628830</v>
      </c>
      <c r="I34" s="94">
        <f>'فصول ابنیه'!H108</f>
        <v>0</v>
      </c>
      <c r="J34" s="128">
        <f t="shared" si="5"/>
        <v>1.5203500000000001</v>
      </c>
      <c r="K34" s="135">
        <f t="shared" si="1"/>
        <v>324790591.69050002</v>
      </c>
      <c r="L34" s="95">
        <f t="shared" si="2"/>
        <v>0</v>
      </c>
      <c r="M34" s="114">
        <f t="shared" si="7"/>
        <v>0</v>
      </c>
      <c r="N34" s="113">
        <f t="shared" si="6"/>
        <v>0</v>
      </c>
      <c r="O34" s="22">
        <f t="shared" si="8"/>
        <v>0</v>
      </c>
      <c r="P34" s="62">
        <f t="shared" si="4"/>
        <v>0</v>
      </c>
    </row>
    <row r="35" spans="1:16" s="9" customFormat="1" ht="24.6" customHeight="1">
      <c r="A35" s="84">
        <v>29</v>
      </c>
      <c r="B35" s="93" t="s">
        <v>1788</v>
      </c>
      <c r="C35" s="167"/>
      <c r="D35" s="135">
        <v>8910000</v>
      </c>
      <c r="E35" s="64">
        <v>0</v>
      </c>
      <c r="F35" s="135">
        <f t="shared" ref="F35" si="9">H35-D35</f>
        <v>0</v>
      </c>
      <c r="G35" s="64">
        <f t="shared" ref="G35" si="10">I35-E35</f>
        <v>0</v>
      </c>
      <c r="H35" s="135">
        <f>'فصول ابنیه'!G112</f>
        <v>8910000</v>
      </c>
      <c r="I35" s="94">
        <f>'فصول ابنیه'!H109</f>
        <v>0</v>
      </c>
      <c r="J35" s="262">
        <f t="shared" si="5"/>
        <v>1.5203500000000001</v>
      </c>
      <c r="K35" s="135">
        <f t="shared" ref="K35" si="11">H35*J35</f>
        <v>13546318.5</v>
      </c>
      <c r="L35" s="95">
        <f t="shared" ref="L35" si="12">I35*J35</f>
        <v>0</v>
      </c>
      <c r="M35" s="114">
        <f t="shared" ref="M35" si="13">O35-N35</f>
        <v>0</v>
      </c>
      <c r="N35" s="113">
        <f t="shared" ref="N35" si="14">G35*J35</f>
        <v>0</v>
      </c>
      <c r="O35" s="22">
        <f t="shared" ref="O35" si="15">L35</f>
        <v>0</v>
      </c>
      <c r="P35" s="62">
        <f t="shared" ref="P35" si="16">E35*J35</f>
        <v>0</v>
      </c>
    </row>
    <row r="36" spans="1:16" s="9" customFormat="1" ht="24.6" customHeight="1" thickBot="1">
      <c r="A36" s="251" t="s">
        <v>1787</v>
      </c>
      <c r="B36" s="162" t="s">
        <v>157</v>
      </c>
      <c r="C36" s="169">
        <v>0</v>
      </c>
      <c r="D36" s="136">
        <v>3286985700</v>
      </c>
      <c r="E36" s="159">
        <v>0</v>
      </c>
      <c r="F36" s="136">
        <f t="shared" ref="F36" si="17">H36-D36</f>
        <v>-1836875700</v>
      </c>
      <c r="G36" s="228">
        <f t="shared" ref="G36" si="18">I36-E36</f>
        <v>0</v>
      </c>
      <c r="H36" s="136">
        <f>'فصول ابنیه'!G125</f>
        <v>1450110000</v>
      </c>
      <c r="I36" s="125">
        <f>'فصول ابنیه'!H125</f>
        <v>0</v>
      </c>
      <c r="J36" s="272">
        <f>1.1695*1.3*0.7</f>
        <v>1.0642449999999999</v>
      </c>
      <c r="K36" s="136">
        <f t="shared" ref="K36" si="19">H36*J36</f>
        <v>1543272316.9499998</v>
      </c>
      <c r="L36" s="121">
        <f t="shared" ref="L36" si="20">I36*J36</f>
        <v>0</v>
      </c>
      <c r="M36" s="114">
        <f t="shared" ref="M36" si="21">O36-N36</f>
        <v>0</v>
      </c>
      <c r="N36" s="113">
        <f t="shared" ref="N36" si="22">G36*J36</f>
        <v>0</v>
      </c>
      <c r="O36" s="22">
        <f t="shared" ref="O36" si="23">L36</f>
        <v>0</v>
      </c>
      <c r="P36" s="62">
        <f t="shared" ref="P36" si="24">E36*J36</f>
        <v>0</v>
      </c>
    </row>
    <row r="37" spans="1:16" s="9" customFormat="1" ht="24.6" customHeight="1" thickTop="1" thickBot="1">
      <c r="A37" s="513" t="s">
        <v>56</v>
      </c>
      <c r="B37" s="513"/>
      <c r="C37" s="170">
        <f>SUM(C7:C36)</f>
        <v>37083160767.964996</v>
      </c>
      <c r="D37" s="137">
        <f>SUM(D7:D36)</f>
        <v>22386483608</v>
      </c>
      <c r="E37" s="86">
        <f t="shared" ref="E37:I37" si="25">SUM(E7:E34)</f>
        <v>0</v>
      </c>
      <c r="F37" s="151">
        <f>SUM(F7:F36)</f>
        <v>3233425212</v>
      </c>
      <c r="G37" s="86">
        <f t="shared" si="25"/>
        <v>0</v>
      </c>
      <c r="H37" s="151">
        <f>SUM(H7:H36)</f>
        <v>25619908820</v>
      </c>
      <c r="I37" s="86">
        <f t="shared" si="25"/>
        <v>0</v>
      </c>
      <c r="J37" s="129"/>
      <c r="K37" s="131">
        <f>SUM(K7:K36)</f>
        <v>38289825952.936996</v>
      </c>
      <c r="L37" s="130">
        <f>SUM(L7:L36)</f>
        <v>0</v>
      </c>
      <c r="M37" s="511"/>
      <c r="N37" s="512"/>
      <c r="O37" s="22"/>
    </row>
    <row r="38" spans="1:16" ht="20.100000000000001" customHeight="1" thickTop="1"/>
    <row r="42" spans="1:16" ht="20.100000000000001" customHeight="1">
      <c r="J42" s="141"/>
    </row>
    <row r="56" spans="8:10" ht="20.100000000000001" customHeight="1">
      <c r="H56" s="145"/>
      <c r="J56" s="145"/>
    </row>
    <row r="60" spans="8:10" ht="20.100000000000001" customHeight="1">
      <c r="H60" s="145"/>
      <c r="J60" s="145"/>
    </row>
    <row r="68" spans="8:10" ht="20.100000000000001" customHeight="1">
      <c r="H68" s="141"/>
    </row>
    <row r="69" spans="8:10" ht="20.100000000000001" customHeight="1">
      <c r="H69" s="141"/>
      <c r="J69" s="141"/>
    </row>
    <row r="85" spans="8:8" ht="20.100000000000001" customHeight="1">
      <c r="H85" s="141"/>
    </row>
    <row r="96" spans="8:8" ht="20.100000000000001" customHeight="1">
      <c r="H96" s="141"/>
    </row>
    <row r="97" spans="8:8" ht="20.100000000000001" customHeight="1">
      <c r="H97" s="141"/>
    </row>
  </sheetData>
  <mergeCells count="16">
    <mergeCell ref="C3:I3"/>
    <mergeCell ref="J3:L3"/>
    <mergeCell ref="A1:D1"/>
    <mergeCell ref="A2:D2"/>
    <mergeCell ref="E1:I2"/>
    <mergeCell ref="J1:L2"/>
    <mergeCell ref="A3:B3"/>
    <mergeCell ref="F4:G4"/>
    <mergeCell ref="H4:I4"/>
    <mergeCell ref="K4:L4"/>
    <mergeCell ref="M37:N37"/>
    <mergeCell ref="A37:B37"/>
    <mergeCell ref="A4:A5"/>
    <mergeCell ref="B4:B5"/>
    <mergeCell ref="C4:C5"/>
    <mergeCell ref="D4:E4"/>
  </mergeCells>
  <printOptions horizontalCentered="1" verticalCentered="1"/>
  <pageMargins left="0" right="0" top="0" bottom="0.78740157480314965" header="0" footer="0"/>
  <pageSetup paperSize="9" orientation="landscape" r:id="rId1"/>
  <headerFooter alignWithMargins="0">
    <oddHeader>&amp;L&amp;"B Nazanin,Regular"&amp;P</oddHeader>
    <oddFooter>&amp;L&amp;"B Lotus,Regular"&amp;12  نماینده کارفرما                       &amp;"Arial,Regular"&amp;10          &amp;C&amp;"B Lotus,Regular"&amp;12 نظارت &amp;"B Nazanin,Regular"                                                     &amp;R                   &amp;"B Lotus,Regular"&amp;12  پیمانکار</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25"/>
  <sheetViews>
    <sheetView rightToLeft="1" view="pageBreakPreview" zoomScale="130" zoomScaleSheetLayoutView="130" workbookViewId="0">
      <selection activeCell="C3" sqref="C3:E5"/>
    </sheetView>
  </sheetViews>
  <sheetFormatPr defaultColWidth="9.109375" defaultRowHeight="20.100000000000001" customHeight="1"/>
  <cols>
    <col min="1" max="1" width="7.44140625" style="2" customWidth="1"/>
    <col min="2" max="2" width="33.5546875" style="66" customWidth="1"/>
    <col min="3" max="3" width="7.44140625" style="3" customWidth="1"/>
    <col min="4" max="4" width="8" style="23" customWidth="1"/>
    <col min="5" max="5" width="10.88671875" style="49" customWidth="1"/>
    <col min="6" max="6" width="10.88671875" style="110" customWidth="1"/>
    <col min="7" max="7" width="12" style="48" customWidth="1"/>
    <col min="8" max="8" width="12" style="111" customWidth="1"/>
    <col min="9" max="16384" width="9.109375" style="1"/>
  </cols>
  <sheetData>
    <row r="1" spans="1:8" ht="20.100000000000001" customHeight="1">
      <c r="A1" s="764" t="str">
        <f>اطلاعات!B15</f>
        <v>کارفرما : اداره کل نوسازی مدارس استان ....</v>
      </c>
      <c r="B1" s="764"/>
      <c r="C1" s="770" t="str">
        <f>اطلاعات!B14</f>
        <v>موضوع قرارداد : ساختمان اداره کل نوسازی مدارس...</v>
      </c>
      <c r="D1" s="771"/>
      <c r="E1" s="772"/>
      <c r="F1" s="776" t="str">
        <f>اطلاعات!B16</f>
        <v xml:space="preserve"> قرارداد شماره :  1232579/ر/1399</v>
      </c>
      <c r="G1" s="524"/>
      <c r="H1" s="525"/>
    </row>
    <row r="2" spans="1:8" ht="20.100000000000001" customHeight="1">
      <c r="A2" s="765" t="str">
        <f>اطلاعات!B18</f>
        <v>پیمانکار :  مهندسین پیمانکار ....</v>
      </c>
      <c r="B2" s="765"/>
      <c r="C2" s="773"/>
      <c r="D2" s="774"/>
      <c r="E2" s="775"/>
      <c r="F2" s="777"/>
      <c r="G2" s="778"/>
      <c r="H2" s="779"/>
    </row>
    <row r="3" spans="1:8" ht="20.100000000000001" customHeight="1">
      <c r="A3" s="766" t="str">
        <f>اطلاعات!$B$21</f>
        <v>فهرست بهای پیمان : برق 1399</v>
      </c>
      <c r="B3" s="766"/>
      <c r="C3" s="767" t="s">
        <v>121</v>
      </c>
      <c r="D3" s="767"/>
      <c r="E3" s="767"/>
      <c r="F3" s="768" t="str">
        <f>اطلاعات!B5</f>
        <v>صورت وضعيت موقت شماره10</v>
      </c>
      <c r="G3" s="768"/>
      <c r="H3" s="769"/>
    </row>
    <row r="4" spans="1:8" ht="20.100000000000001" customHeight="1">
      <c r="A4" s="766"/>
      <c r="B4" s="766"/>
      <c r="C4" s="767"/>
      <c r="D4" s="767"/>
      <c r="E4" s="767"/>
      <c r="F4" s="768" t="str">
        <f>اطلاعات!B7</f>
        <v>دوره كاركرد از: 1399/06/19</v>
      </c>
      <c r="G4" s="768"/>
      <c r="H4" s="769"/>
    </row>
    <row r="5" spans="1:8" ht="19.5" customHeight="1">
      <c r="A5" s="766"/>
      <c r="B5" s="766"/>
      <c r="C5" s="767"/>
      <c r="D5" s="767"/>
      <c r="E5" s="767"/>
      <c r="F5" s="768" t="str">
        <f>اطلاعات!B8</f>
        <v>لغايت : 1399/07/19</v>
      </c>
      <c r="G5" s="768"/>
      <c r="H5" s="769"/>
    </row>
    <row r="6" spans="1:8" ht="16.5" customHeight="1">
      <c r="A6" s="541" t="s">
        <v>13</v>
      </c>
      <c r="B6" s="537" t="s">
        <v>14</v>
      </c>
      <c r="C6" s="537" t="s">
        <v>16</v>
      </c>
      <c r="D6" s="539" t="s">
        <v>12</v>
      </c>
      <c r="E6" s="534" t="s">
        <v>32</v>
      </c>
      <c r="F6" s="535"/>
      <c r="G6" s="534" t="s">
        <v>32</v>
      </c>
      <c r="H6" s="535"/>
    </row>
    <row r="7" spans="1:8" ht="16.5" customHeight="1">
      <c r="A7" s="542"/>
      <c r="B7" s="538"/>
      <c r="C7" s="538"/>
      <c r="D7" s="540"/>
      <c r="E7" s="39" t="s">
        <v>130</v>
      </c>
      <c r="F7" s="71" t="s">
        <v>131</v>
      </c>
      <c r="G7" s="39" t="s">
        <v>130</v>
      </c>
      <c r="H7" s="71" t="s">
        <v>131</v>
      </c>
    </row>
    <row r="8" spans="1:8" ht="20.100000000000001" customHeight="1">
      <c r="A8" s="529" t="s">
        <v>105</v>
      </c>
      <c r="B8" s="530"/>
      <c r="C8" s="530"/>
      <c r="D8" s="530"/>
      <c r="E8" s="530"/>
      <c r="F8" s="530"/>
      <c r="G8" s="530"/>
      <c r="H8" s="531"/>
    </row>
    <row r="9" spans="1:8" ht="21" customHeight="1">
      <c r="A9" s="175" t="str">
        <f>'خلاصه متره '!A7</f>
        <v>020105*</v>
      </c>
      <c r="B9" s="65" t="str">
        <f>'ريزمتره ابینه'!B9:I9</f>
        <v>حفاری درزمین سنگی به صورت تونل به روش دستی</v>
      </c>
      <c r="C9" s="75" t="s">
        <v>143</v>
      </c>
      <c r="D9" s="68">
        <v>6245387</v>
      </c>
      <c r="E9" s="73">
        <f>'خلاصه متره '!F7</f>
        <v>200</v>
      </c>
      <c r="F9" s="67"/>
      <c r="G9" s="70">
        <f t="shared" ref="G9:G14" si="0">ROUND(E9*D9,0)</f>
        <v>1249077400</v>
      </c>
      <c r="H9" s="51">
        <f t="shared" ref="H9:H14" si="1">ROUND(F9*D9,0)</f>
        <v>0</v>
      </c>
    </row>
    <row r="10" spans="1:8" ht="25.5" customHeight="1">
      <c r="A10" s="175" t="str">
        <f>'خلاصه متره '!A9</f>
        <v>020303*</v>
      </c>
      <c r="B10" s="291" t="str">
        <f>'ريزمتره ابینه'!B13:I13</f>
        <v xml:space="preserve"> حفرميله چاه به قطرتا 1/2متر وعمق2/50 متر برای جمع آوری آب های زیرزمینی در زمین سنگی.</v>
      </c>
      <c r="C10" s="75" t="s">
        <v>34</v>
      </c>
      <c r="D10" s="68">
        <v>4000000</v>
      </c>
      <c r="E10" s="73">
        <f>'خلاصه متره '!F9</f>
        <v>96.960000000000008</v>
      </c>
      <c r="F10" s="67"/>
      <c r="G10" s="70">
        <f>ROUND(E10*D10,0)</f>
        <v>387840000</v>
      </c>
      <c r="H10" s="51">
        <f t="shared" si="1"/>
        <v>0</v>
      </c>
    </row>
    <row r="11" spans="1:8" ht="39.9" customHeight="1">
      <c r="A11" s="171" t="str">
        <f>'خلاصه متره '!A11</f>
        <v>020401</v>
      </c>
      <c r="B11" s="65" t="str">
        <f>IF(A11="","",VLOOKUP(A11,'ابنیه 95'!$A:$E,2,FALSE))</f>
        <v>بارگيري مواد حاصله از هر نوع عمليات خاكي، غير لجني، و حمل با هر نوع وسيله دستي تا50 متر و تخليه آن در مواردي كه استفاده از ماشين براي حمل ممكن نباشد.</v>
      </c>
      <c r="C11" s="75" t="str">
        <f>IF(A11="","",VLOOKUP(A11,'ابنیه 95'!$A:$E,3,FALSE))</f>
        <v>مترمکعب</v>
      </c>
      <c r="D11" s="68">
        <f>IF(A11="","",VLOOKUP(A11,'ابنیه 95'!$A:$E,4,FALSE))</f>
        <v>130000</v>
      </c>
      <c r="E11" s="73">
        <f>'خلاصه متره '!F11</f>
        <v>96.960000000000008</v>
      </c>
      <c r="F11" s="67"/>
      <c r="G11" s="70">
        <f t="shared" si="0"/>
        <v>12604800</v>
      </c>
      <c r="H11" s="51">
        <f t="shared" si="1"/>
        <v>0</v>
      </c>
    </row>
    <row r="12" spans="1:8" ht="39.9" customHeight="1">
      <c r="A12" s="171" t="str">
        <f>'خلاصه متره '!A13</f>
        <v>020402</v>
      </c>
      <c r="B12" s="65" t="str">
        <f>IF(A12="","",VLOOKUP(A12,'ابنیه 95'!$A:$E,2,FALSE))</f>
        <v>اضافه بها به رديف‌هاي 020101 و020401، براي 50 متر حمل اضافي با وسايل دستي، كسر50 متر به تناسب محاسبه مي‌شود.</v>
      </c>
      <c r="C12" s="75" t="str">
        <f>IF(A12="","",VLOOKUP(A12,'ابنیه 95'!$A:$E,3,FALSE))</f>
        <v>مترمکعب</v>
      </c>
      <c r="D12" s="68">
        <f>IF(A12="","",VLOOKUP(A12,'ابنیه 95'!$A:$E,4,FALSE))</f>
        <v>90500</v>
      </c>
      <c r="E12" s="73">
        <f>'خلاصه متره '!F13</f>
        <v>96.960000000000008</v>
      </c>
      <c r="F12" s="67"/>
      <c r="G12" s="70">
        <f t="shared" si="0"/>
        <v>8774880</v>
      </c>
      <c r="H12" s="51">
        <f t="shared" si="1"/>
        <v>0</v>
      </c>
    </row>
    <row r="13" spans="1:8" ht="24" customHeight="1">
      <c r="A13" s="171" t="str">
        <f>'خلاصه متره '!A15</f>
        <v>020501</v>
      </c>
      <c r="B13" s="65" t="str">
        <f>IF(A13="","",VLOOKUP(A13,'ابنیه 95'!$A:$E,2,FALSE))</f>
        <v>تسطيح و رگلاژ سطوح خاكريزي و خاكبرداري پي‌ها، گودها و كانال‌ها كه با ماشين انجام شده باشد.</v>
      </c>
      <c r="C13" s="75" t="str">
        <f>IF(A13="","",VLOOKUP(A13,'ابنیه 95'!$A:$E,3,FALSE))</f>
        <v>مترمربع</v>
      </c>
      <c r="D13" s="68">
        <f>IF(A13="","",VLOOKUP(A13,'ابنیه 95'!$A:$E,4,FALSE))</f>
        <v>4500</v>
      </c>
      <c r="E13" s="73">
        <f>'خلاصه متره '!F15</f>
        <v>2084.17</v>
      </c>
      <c r="F13" s="67"/>
      <c r="G13" s="70">
        <f t="shared" si="0"/>
        <v>9378765</v>
      </c>
      <c r="H13" s="51">
        <f t="shared" si="1"/>
        <v>0</v>
      </c>
    </row>
    <row r="14" spans="1:8" ht="43.5" customHeight="1">
      <c r="A14" s="171" t="str">
        <f>'خلاصه متره '!A17</f>
        <v>020504</v>
      </c>
      <c r="B14" s="65" t="str">
        <f>IF(A14="","",VLOOKUP(A14,'ابنیه 95'!$A:$E,2,FALSE))</f>
        <v>ريختن خاك‌ها يا مصالح سنگي موجود در كنار پي‌ها، گودها و كانال‌ها، به‌درون پي‌ها، گودها و كانال‌ها در قشرهاي حداكثر 15 سانتي‌متر در هر عمق و پخش و تسطيح لازم.</v>
      </c>
      <c r="C14" s="75" t="str">
        <f>IF(A14="","",VLOOKUP(A14,'ابنیه 95'!$A:$E,3,FALSE))</f>
        <v>مترمکعب</v>
      </c>
      <c r="D14" s="68">
        <f>IF(A14="","",VLOOKUP(A14,'ابنیه 95'!$A:$E,4,FALSE))</f>
        <v>34800</v>
      </c>
      <c r="E14" s="73">
        <f>'خلاصه متره '!F17</f>
        <v>2392.75</v>
      </c>
      <c r="F14" s="67"/>
      <c r="G14" s="70">
        <f t="shared" si="0"/>
        <v>83267700</v>
      </c>
      <c r="H14" s="51">
        <f t="shared" si="1"/>
        <v>0</v>
      </c>
    </row>
    <row r="15" spans="1:8" ht="20.100000000000001" customHeight="1">
      <c r="A15" s="526" t="s">
        <v>66</v>
      </c>
      <c r="B15" s="527"/>
      <c r="C15" s="527"/>
      <c r="D15" s="527"/>
      <c r="E15" s="527"/>
      <c r="F15" s="528"/>
      <c r="G15" s="46">
        <f>SUM(G9:G14)</f>
        <v>1750943545</v>
      </c>
      <c r="H15" s="47">
        <f>SUM(H10:H12)</f>
        <v>0</v>
      </c>
    </row>
    <row r="16" spans="1:8" ht="20.100000000000001" customHeight="1">
      <c r="A16" s="529" t="s">
        <v>17</v>
      </c>
      <c r="B16" s="530"/>
      <c r="C16" s="530"/>
      <c r="D16" s="530"/>
      <c r="E16" s="530"/>
      <c r="F16" s="530"/>
      <c r="G16" s="530"/>
      <c r="H16" s="531"/>
    </row>
    <row r="17" spans="1:8" ht="39.9" customHeight="1">
      <c r="A17" s="171" t="str">
        <f>'ريزمتره ابینه'!A50</f>
        <v>030502</v>
      </c>
      <c r="B17" s="65" t="str">
        <f>IF(A17="","",VLOOKUP(A17,'ابنیه 95'!$A:$E,2,FALSE))</f>
        <v>پي‌كني، كانال‌كني با وسيله مكانيكي در زمين‌هاي سخت، تاعمق 2 متر و ريختن خاك كنده شده در كنارمحل‌هاي مربوط.</v>
      </c>
      <c r="C17" s="75" t="str">
        <f>IF(A17="","",VLOOKUP(A17,'ابنیه 95'!$A:$E,3,FALSE))</f>
        <v>مترمکعب</v>
      </c>
      <c r="D17" s="68">
        <f>IF(A17="","",VLOOKUP(A17,'ابنیه 95'!$A:$E,4,FALSE))</f>
        <v>27500</v>
      </c>
      <c r="E17" s="73">
        <f>'خلاصه متره '!F19</f>
        <v>3496.5479999999993</v>
      </c>
      <c r="F17" s="67"/>
      <c r="G17" s="70">
        <f t="shared" ref="G17:G24" si="2">ROUND(E17*D17,0)</f>
        <v>96155070</v>
      </c>
      <c r="H17" s="51">
        <f t="shared" ref="H17:H24" si="3">ROUND(F17*D17,0)</f>
        <v>0</v>
      </c>
    </row>
    <row r="18" spans="1:8" ht="39.9" customHeight="1">
      <c r="A18" s="172" t="str">
        <f>'ريزمتره ابینه'!A70</f>
        <v>030504</v>
      </c>
      <c r="B18" s="65" t="str">
        <f>IF(A18="","",VLOOKUP(A18,'ابنیه 95'!$A:$E,2,FALSE))</f>
        <v>پي‌كني، كانال‌كني با چکش هيدروليکي در زمين‌هاي سنگي تا عمق 2 متر و حمل و تخليه مواد كنده شده تا فاصله 20 متر از مركز ثقل برداشت.</v>
      </c>
      <c r="C18" s="75" t="str">
        <f>IF(A18="","",VLOOKUP(A18,'ابنیه 95'!$A:$E,3,FALSE))</f>
        <v>مترمکعب</v>
      </c>
      <c r="D18" s="68">
        <f>IF(A18="","",VLOOKUP(A18,'ابنیه 95'!$A:$E,4,FALSE))</f>
        <v>218500</v>
      </c>
      <c r="E18" s="42">
        <f>'خلاصه متره '!F21</f>
        <v>8216.9369999999999</v>
      </c>
      <c r="F18" s="45"/>
      <c r="G18" s="72">
        <f t="shared" si="2"/>
        <v>1795400735</v>
      </c>
      <c r="H18" s="43">
        <f t="shared" si="3"/>
        <v>0</v>
      </c>
    </row>
    <row r="19" spans="1:8" ht="39.9" customHeight="1">
      <c r="A19" s="173" t="str">
        <f>'ريزمتره ابینه'!A88</f>
        <v>030602</v>
      </c>
      <c r="B19" s="65" t="str">
        <f>IF(A19="","",VLOOKUP(A19,'ابنیه 95'!$A:$E,2,FALSE))</f>
        <v>اضافه بها به ‌رديف‌هاي 030501، 030502 و 030504، هرگاه پي‌كني، كانال‌كني زير تراز آب زيرزميني انجام شود وآبكشي با تلمبه موتوري الزامي باشد.</v>
      </c>
      <c r="C19" s="75" t="str">
        <f>IF(A19="","",VLOOKUP(A19,'ابنیه 95'!$A:$E,3,FALSE))</f>
        <v>مترمکعب</v>
      </c>
      <c r="D19" s="68">
        <f>IF(A19="","",VLOOKUP(A19,'ابنیه 95'!$A:$E,4,FALSE))</f>
        <v>33100</v>
      </c>
      <c r="E19" s="155">
        <f>'خلاصه متره '!F23</f>
        <v>8216.9369999999999</v>
      </c>
      <c r="F19" s="119"/>
      <c r="G19" s="117">
        <f t="shared" si="2"/>
        <v>271980615</v>
      </c>
      <c r="H19" s="116">
        <f t="shared" si="3"/>
        <v>0</v>
      </c>
    </row>
    <row r="20" spans="1:8" ht="39.9" customHeight="1">
      <c r="A20" s="172" t="str">
        <f>'ريزمتره ابینه'!A92</f>
        <v>030701</v>
      </c>
      <c r="B20" s="65" t="str">
        <f>IF(A20="","",VLOOKUP(A20,'ابنیه 95'!$A:$E,2,FALSE))</f>
        <v>بارگيري مواد حاصل از عمليات خاكي يا خاك‌هاي توده شده و حمل آن با كاميون يا هرنوع وسيله مكانيكي ديگر تا فاصله 100 متري مركز ثقل برداشت و تخليه آن.</v>
      </c>
      <c r="C20" s="75" t="str">
        <f>IF(A20="","",VLOOKUP(A20,'ابنیه 95'!$A:$E,3,FALSE))</f>
        <v>مترمکعب</v>
      </c>
      <c r="D20" s="68">
        <f>IF(A20="","",VLOOKUP(A20,'ابنیه 95'!$A:$E,4,FALSE))</f>
        <v>13400</v>
      </c>
      <c r="E20" s="42">
        <f>'خلاصه متره '!F25</f>
        <v>11713.484999999999</v>
      </c>
      <c r="F20" s="45"/>
      <c r="G20" s="72">
        <f t="shared" si="2"/>
        <v>156960699</v>
      </c>
      <c r="H20" s="43">
        <f t="shared" si="3"/>
        <v>0</v>
      </c>
    </row>
    <row r="21" spans="1:8" ht="54.9" customHeight="1">
      <c r="A21" s="171" t="str">
        <f>'ريزمتره ابینه'!A96</f>
        <v>030702</v>
      </c>
      <c r="B21" s="65" t="str">
        <f>IF(A21="","",VLOOKUP(A21,'ابنیه 95'!$A:$E,2,FALSE))</f>
        <v>حمل مواد حاصل از عمليات خاكي يا خاك‌هاي توده شده، وقتي كه فاصله حمل بيش از 100 متر تا 500 متر باشد، به ازاي هر 100 متر مازاد بر100 متر اول. كسر 100 متر به تناسب محاسبه مي شود.</v>
      </c>
      <c r="C21" s="75" t="str">
        <f>IF(A21="","",VLOOKUP(A21,'ابنیه 95'!$A:$E,3,FALSE))</f>
        <v>مترمکعب</v>
      </c>
      <c r="D21" s="68">
        <f>IF(A21="","",VLOOKUP(A21,'ابنیه 95'!$A:$E,4,FALSE))</f>
        <v>1180</v>
      </c>
      <c r="E21" s="73">
        <f>'خلاصه متره '!F27</f>
        <v>46853.939999999995</v>
      </c>
      <c r="F21" s="67"/>
      <c r="G21" s="70">
        <f t="shared" si="2"/>
        <v>55287649</v>
      </c>
      <c r="H21" s="51">
        <f t="shared" si="3"/>
        <v>0</v>
      </c>
    </row>
    <row r="22" spans="1:8" ht="69.75" customHeight="1">
      <c r="A22" s="171" t="str">
        <f>'ريزمتره ابینه'!A100</f>
        <v>030703</v>
      </c>
      <c r="B22" s="65" t="str">
        <f>IF(A22="","",VLOOKUP(A22,'ابنیه 95'!$A:$E,2,FALSE))</f>
        <v>حمل مواد حاصل از عمليات خاكي يا خاك‌هاي توده شده، وقتي كه فاصله حمل بيش از500 متر تا10 كيلومتر باشد، براي هر كيلومتر مازاد بر500 متر اول، براي راه‌هاي آسفالتي (كسر كيلومتر به‌نسبت قيمت يك كيلومتر محاسبه مي‌شود).</v>
      </c>
      <c r="C22" s="75" t="str">
        <f>IF(A22="","",VLOOKUP(A22,'ابنیه 95'!$A:$E,3,FALSE))</f>
        <v>مترمکعب -  کيلومتر</v>
      </c>
      <c r="D22" s="68">
        <f>IF(A22="","",VLOOKUP(A22,'ابنیه 95'!$A:$E,4,FALSE))</f>
        <v>4760</v>
      </c>
      <c r="E22" s="73">
        <f>'خلاصه متره '!F29</f>
        <v>166378.10749999998</v>
      </c>
      <c r="F22" s="67"/>
      <c r="G22" s="70">
        <f t="shared" si="2"/>
        <v>791959792</v>
      </c>
      <c r="H22" s="51">
        <f t="shared" si="3"/>
        <v>0</v>
      </c>
    </row>
    <row r="23" spans="1:8" ht="69.75" customHeight="1">
      <c r="A23" s="171" t="str">
        <f>'ريزمتره ابینه'!A106</f>
        <v>030704</v>
      </c>
      <c r="B23" s="65" t="str">
        <f>IF(A23="","",VLOOKUP(A23,'ابنیه 95'!$A:$E,2,FALSE))</f>
        <v>حمل مواد حاصل از عمليات خاكي ياخاك‌هاي توده شده، وقتي كه فاصله حمل بيش از10 كيلومتر تا30 كيلومتر باشد، براي هر كيلومتر مازاد بر10 كيلومتر، براي راه‌هاي آسفالتي(كسر كيلومتر، به‌نسبت قيمت يك كيلومتر محاسبه مي‌شود).</v>
      </c>
      <c r="C23" s="75" t="str">
        <f>IF(A23="","",VLOOKUP(A23,'ابنیه 95'!$A:$E,3,FALSE))</f>
        <v>مترمکعب -  کيلومتر</v>
      </c>
      <c r="D23" s="68">
        <f>IF(A23="","",VLOOKUP(A23,'ابنیه 95'!$A:$E,4,FALSE))</f>
        <v>4330</v>
      </c>
      <c r="E23" s="73">
        <f>'خلاصه متره '!F31</f>
        <v>58954.500499999995</v>
      </c>
      <c r="F23" s="67"/>
      <c r="G23" s="70">
        <f t="shared" si="2"/>
        <v>255272987</v>
      </c>
      <c r="H23" s="51">
        <f t="shared" si="3"/>
        <v>0</v>
      </c>
    </row>
    <row r="24" spans="1:8" ht="30" customHeight="1">
      <c r="A24" s="171" t="str">
        <f>'خلاصه متره '!A33</f>
        <v>031001</v>
      </c>
      <c r="B24" s="65" t="str">
        <f>IF(A24="","",VLOOKUP(A24,'ابنیه 95'!$A:$E,2,FALSE))</f>
        <v>ريختن خاك‌ها يا مصالح سنگي موجود كنار پي‌ها، گودها و كانال‌ها، به‌درون پي‌ها، گودها و كانال‌ها.</v>
      </c>
      <c r="C24" s="75" t="str">
        <f>IF(A24="","",VLOOKUP(A24,'ابنیه 95'!$A:$E,3,FALSE))</f>
        <v>مترمکعب</v>
      </c>
      <c r="D24" s="68">
        <f>IF(A24="","",VLOOKUP(A24,'ابنیه 95'!$A:$E,4,FALSE))</f>
        <v>3460</v>
      </c>
      <c r="E24" s="73">
        <f>'خلاصه متره '!F33</f>
        <v>5800</v>
      </c>
      <c r="F24" s="67"/>
      <c r="G24" s="70">
        <f t="shared" si="2"/>
        <v>20068000</v>
      </c>
      <c r="H24" s="51">
        <f t="shared" si="3"/>
        <v>0</v>
      </c>
    </row>
    <row r="25" spans="1:8" ht="20.100000000000001" customHeight="1">
      <c r="A25" s="526" t="s">
        <v>36</v>
      </c>
      <c r="B25" s="527"/>
      <c r="C25" s="527"/>
      <c r="D25" s="527"/>
      <c r="E25" s="527"/>
      <c r="F25" s="528"/>
      <c r="G25" s="46">
        <f>SUM(G17:G24)</f>
        <v>3443085547</v>
      </c>
      <c r="H25" s="47">
        <f>SUM(H17:H24)</f>
        <v>0</v>
      </c>
    </row>
    <row r="26" spans="1:8" ht="20.100000000000001" customHeight="1">
      <c r="A26" s="529" t="s">
        <v>94</v>
      </c>
      <c r="B26" s="530"/>
      <c r="C26" s="530"/>
      <c r="D26" s="530"/>
      <c r="E26" s="530"/>
      <c r="F26" s="530"/>
      <c r="G26" s="530"/>
      <c r="H26" s="531"/>
    </row>
    <row r="27" spans="1:8" ht="20.100000000000001" customHeight="1">
      <c r="A27" s="175" t="str">
        <f>'خلاصه متره '!A35</f>
        <v>040102</v>
      </c>
      <c r="B27" s="65" t="str">
        <f>IF(A27="","",VLOOKUP(A27,'ابنیه 95'!$A:$E,2,FALSE))</f>
        <v>سنگ چيني دركف ساختمان (بلوكاژ) با سنگ لاشه.</v>
      </c>
      <c r="C27" s="75" t="str">
        <f>IF(A27="","",VLOOKUP(A27,'ابنیه 95'!$A:$E,3,FALSE))</f>
        <v>مترمکعب</v>
      </c>
      <c r="D27" s="68">
        <f>IF(A27="","",VLOOKUP(A27,'ابنیه 95'!$A:$E,4,FALSE))</f>
        <v>492000</v>
      </c>
      <c r="E27" s="69">
        <f>'خلاصه متره '!F35</f>
        <v>689.42</v>
      </c>
      <c r="F27" s="67"/>
      <c r="G27" s="70">
        <f>ROUND(E27*D27,0)</f>
        <v>339194640</v>
      </c>
      <c r="H27" s="51">
        <f>ROUND(F27*D27,0)</f>
        <v>0</v>
      </c>
    </row>
    <row r="28" spans="1:8" ht="56.25" customHeight="1">
      <c r="A28" s="175" t="str">
        <f>'خلاصه متره '!A37</f>
        <v>040502</v>
      </c>
      <c r="B28" s="65" t="str">
        <f>IF(A28="","",VLOOKUP(A28,'ابنیه 95'!$A:$E,2,FALSE))</f>
        <v>تهيه و ريختن ماسه شسته رودخانه در داخل كانال‌ها، اطراف پي‌ها و لوله‌ها، كف ساختمان‌ها، روي بام‌ها معابر، محوطه‌ها و يا هر محل ديگري كه لازم باشد، به‌انضمام پخش و تسطيح آن‌ها در ضخامت‌هاي لازم.</v>
      </c>
      <c r="C28" s="75" t="str">
        <f>IF(A28="","",VLOOKUP(A28,'ابنیه 95'!$A:$E,3,FALSE))</f>
        <v>مترمکعب</v>
      </c>
      <c r="D28" s="68">
        <f>IF(A28="","",VLOOKUP(A28,'ابنیه 95'!$A:$E,4,FALSE))</f>
        <v>371500</v>
      </c>
      <c r="E28" s="69">
        <f>'خلاصه متره '!F37</f>
        <v>50</v>
      </c>
      <c r="F28" s="67"/>
      <c r="G28" s="70">
        <f>ROUND(E28*D28,0)</f>
        <v>18575000</v>
      </c>
      <c r="H28" s="51">
        <f>ROUND(F28*D28,0)</f>
        <v>0</v>
      </c>
    </row>
    <row r="29" spans="1:8" ht="20.100000000000001" customHeight="1">
      <c r="A29" s="526" t="s">
        <v>37</v>
      </c>
      <c r="B29" s="527"/>
      <c r="C29" s="527"/>
      <c r="D29" s="527"/>
      <c r="E29" s="527"/>
      <c r="F29" s="528"/>
      <c r="G29" s="40">
        <f>SUM(G27:G28)</f>
        <v>357769640</v>
      </c>
      <c r="H29" s="41">
        <f>SUM(H27:H27)</f>
        <v>0</v>
      </c>
    </row>
    <row r="30" spans="1:8" ht="20.100000000000001" customHeight="1">
      <c r="A30" s="529" t="str">
        <f>'ريزمتره ابینه'!A139:I139</f>
        <v>فصل پنجم- قالب بندی چوبی</v>
      </c>
      <c r="B30" s="530"/>
      <c r="C30" s="530"/>
      <c r="D30" s="530"/>
      <c r="E30" s="530"/>
      <c r="F30" s="530"/>
      <c r="G30" s="530"/>
      <c r="H30" s="531"/>
    </row>
    <row r="31" spans="1:8" ht="27.75" customHeight="1">
      <c r="A31" s="175" t="str">
        <f>'خلاصه متره '!A39</f>
        <v>050501</v>
      </c>
      <c r="B31" s="65" t="str">
        <f>IF(A31="","",VLOOKUP(A31,'ابنیه 95'!$A:$E,2,FALSE))</f>
        <v>تهيه وسايل و قالب‌بندي با استفاده از تخته نراد خارجي، در تيرهاي بتني تا ارتفاع حداكثر 3/5 متر.</v>
      </c>
      <c r="C31" s="75" t="str">
        <f>IF(A31="","",VLOOKUP(A31,'ابنیه 95'!$A:$E,3,FALSE))</f>
        <v>مترمربع</v>
      </c>
      <c r="D31" s="68">
        <f>IF(A31="","",VLOOKUP(A31,'ابنیه 95'!$A:$E,4,FALSE))</f>
        <v>404500</v>
      </c>
      <c r="E31" s="69">
        <f>'خلاصه متره '!F39</f>
        <v>362.97</v>
      </c>
      <c r="F31" s="67"/>
      <c r="G31" s="70">
        <f>ROUND(E31*D31,0)</f>
        <v>146821365</v>
      </c>
      <c r="H31" s="51">
        <f>ROUND(F31*D31,0)</f>
        <v>0</v>
      </c>
    </row>
    <row r="32" spans="1:8" ht="27" customHeight="1">
      <c r="A32" s="175" t="str">
        <f>'خلاصه متره '!A41</f>
        <v>050502</v>
      </c>
      <c r="B32" s="291" t="str">
        <f>IF(A32="","",VLOOKUP(A32,'ابنیه 95'!$A:$E,2,FALSE))</f>
        <v>تهيه وسايل و قالب‌بندي با استفاده از تخته نراد خارجي، در تيرهاي بتني در صورتي كه ارتفاع بيش از 3/5 متر و حداكثر 5/5 متر باشد.</v>
      </c>
      <c r="C32" s="75" t="str">
        <f>IF(A32="","",VLOOKUP(A32,'ابنیه 95'!$A:$E,3,FALSE))</f>
        <v>مترمربع</v>
      </c>
      <c r="D32" s="68">
        <f>IF(A32="","",VLOOKUP(A32,'ابنیه 95'!$A:$E,4,FALSE))</f>
        <v>473500</v>
      </c>
      <c r="E32" s="69">
        <f>'خلاصه متره '!F41</f>
        <v>188.04999999999998</v>
      </c>
      <c r="F32" s="67"/>
      <c r="G32" s="70">
        <f>ROUND(E32*D32,0)</f>
        <v>89041675</v>
      </c>
      <c r="H32" s="51">
        <f>ROUND(F32*D32,0)</f>
        <v>0</v>
      </c>
    </row>
    <row r="33" spans="1:8" ht="20.100000000000001" customHeight="1">
      <c r="A33" s="526" t="s">
        <v>1826</v>
      </c>
      <c r="B33" s="527"/>
      <c r="C33" s="527"/>
      <c r="D33" s="527"/>
      <c r="E33" s="527"/>
      <c r="F33" s="528"/>
      <c r="G33" s="40">
        <f>SUM(G31:G32)</f>
        <v>235863040</v>
      </c>
      <c r="H33" s="41">
        <f>SUM(H31:H31)</f>
        <v>0</v>
      </c>
    </row>
    <row r="34" spans="1:8" ht="20.100000000000001" customHeight="1">
      <c r="A34" s="536" t="s">
        <v>120</v>
      </c>
      <c r="B34" s="532"/>
      <c r="C34" s="532"/>
      <c r="D34" s="532"/>
      <c r="E34" s="532"/>
      <c r="F34" s="532"/>
      <c r="G34" s="532"/>
      <c r="H34" s="533"/>
    </row>
    <row r="35" spans="1:8" ht="30" customHeight="1">
      <c r="A35" s="175" t="str">
        <f>'خلاصه متره '!A43</f>
        <v>060101</v>
      </c>
      <c r="B35" s="65" t="str">
        <f>IF(A35="","",VLOOKUP(A35,'ابنیه 95'!$A:$E,2,FALSE))</f>
        <v>تهيه وسايل و قالب‌بندي با استفاده از قالب فلزي درپي‌ها و شناژهاي پي.</v>
      </c>
      <c r="C35" s="75" t="str">
        <f>IF(A35="","",VLOOKUP(A35,'ابنیه 95'!$A:$E,3,FALSE))</f>
        <v>مترمربع</v>
      </c>
      <c r="D35" s="68">
        <f>IF(A35="","",VLOOKUP(A35,'ابنیه 95'!$A:$E,4,FALSE))</f>
        <v>178500</v>
      </c>
      <c r="E35" s="44">
        <f>'خلاصه متره '!F43</f>
        <v>1157.04</v>
      </c>
      <c r="F35" s="45"/>
      <c r="G35" s="72">
        <f t="shared" ref="G35:G41" si="4">ROUND(E35*D35,0)</f>
        <v>206531640</v>
      </c>
      <c r="H35" s="43">
        <f t="shared" ref="H35:H41" si="5">ROUND(F35*D35,0)</f>
        <v>0</v>
      </c>
    </row>
    <row r="36" spans="1:8" ht="27.75" customHeight="1">
      <c r="A36" s="175" t="str">
        <f>'خلاصه متره '!A45</f>
        <v>060301</v>
      </c>
      <c r="B36" s="291" t="str">
        <f>IF(A36="","",VLOOKUP(A36,'ابنیه 95'!$A:$E,2,FALSE))</f>
        <v>تهيه وسايل و قالب‌بندي با استفاده از قالب فلزي در ستون‌ها و شناژهاي قايم با مقطع چهار ضلعي تا ارتفاع حداكثر 3/5 متر.</v>
      </c>
      <c r="C36" s="75" t="str">
        <f>IF(A36="","",VLOOKUP(A36,'ابنیه 95'!$A:$E,3,FALSE))</f>
        <v>مترمربع</v>
      </c>
      <c r="D36" s="68">
        <f>IF(A36="","",VLOOKUP(A36,'ابنیه 95'!$A:$E,4,FALSE))</f>
        <v>245000</v>
      </c>
      <c r="E36" s="44">
        <f>'خلاصه متره '!F45</f>
        <v>2436.4499999999998</v>
      </c>
      <c r="F36" s="45"/>
      <c r="G36" s="72">
        <f t="shared" si="4"/>
        <v>596930250</v>
      </c>
      <c r="H36" s="43">
        <f t="shared" si="5"/>
        <v>0</v>
      </c>
    </row>
    <row r="37" spans="1:8" ht="41.25" customHeight="1">
      <c r="A37" s="175" t="str">
        <f>'خلاصه متره '!A47</f>
        <v>060303</v>
      </c>
      <c r="B37" s="291" t="str">
        <f>IF(A37="","",VLOOKUP(A37,'ابنیه 95'!$A:$E,2,FALSE))</f>
        <v>تهيه وسايل و قالب‌بندي با استفاده از قالب فلزي در ستون‌ها و شناژهاي قايم با مقطع چهار ضلعي كه ارتفاع بيش از 5/5 متر و حداكثر 7/5 متر باشد.</v>
      </c>
      <c r="C37" s="75" t="str">
        <f>IF(A37="","",VLOOKUP(A37,'ابنیه 95'!$A:$E,3,FALSE))</f>
        <v>مترمربع</v>
      </c>
      <c r="D37" s="68">
        <f>IF(A37="","",VLOOKUP(A37,'ابنیه 95'!$A:$E,4,FALSE))</f>
        <v>300000</v>
      </c>
      <c r="E37" s="44">
        <f>'خلاصه متره '!F47</f>
        <v>900.43</v>
      </c>
      <c r="F37" s="45"/>
      <c r="G37" s="72">
        <f t="shared" ref="G37" si="6">ROUND(E37*D37,0)</f>
        <v>270129000</v>
      </c>
      <c r="H37" s="43">
        <f t="shared" ref="H37" si="7">ROUND(F37*D37,0)</f>
        <v>0</v>
      </c>
    </row>
    <row r="38" spans="1:8" ht="25.5" customHeight="1">
      <c r="A38" s="175" t="str">
        <f>'خلاصه متره '!A49</f>
        <v>060501</v>
      </c>
      <c r="B38" s="291" t="str">
        <f>IF(A38="","",VLOOKUP(A38,'ابنیه 95'!$A:$E,2,FALSE))</f>
        <v>تهيه وسايل و قالب‌بندي با استفاده از قالب فلزي در تيرهاي بتني تا ارتفاع حداكثر 3/5 متر.</v>
      </c>
      <c r="C38" s="75" t="str">
        <f>IF(A38="","",VLOOKUP(A38,'ابنیه 95'!$A:$E,3,FALSE))</f>
        <v>مترمربع</v>
      </c>
      <c r="D38" s="68">
        <f>IF(A38="","",VLOOKUP(A38,'ابنیه 95'!$A:$E,4,FALSE))</f>
        <v>342000</v>
      </c>
      <c r="E38" s="44">
        <f>'خلاصه متره '!F49</f>
        <v>2285.17</v>
      </c>
      <c r="F38" s="45"/>
      <c r="G38" s="72">
        <f t="shared" si="4"/>
        <v>781528140</v>
      </c>
      <c r="H38" s="43">
        <f t="shared" si="5"/>
        <v>0</v>
      </c>
    </row>
    <row r="39" spans="1:8" ht="25.5" customHeight="1">
      <c r="A39" s="175" t="str">
        <f>'خلاصه متره '!A51</f>
        <v>060502</v>
      </c>
      <c r="B39" s="291" t="str">
        <f>IF(A39="","",VLOOKUP(A39,'ابنیه 95'!$A:$E,2,FALSE))</f>
        <v>تهيه وسايل و قالب‌بندي با استفاده از قالب فلزي در تيرهاي بتني كه ارتفاع بيش از 3/5 متر و حداكثر 5/5 متر باشد.</v>
      </c>
      <c r="C39" s="75" t="str">
        <f>IF(A39="","",VLOOKUP(A39,'ابنیه 95'!$A:$E,3,FALSE))</f>
        <v>مترمربع</v>
      </c>
      <c r="D39" s="68">
        <f>IF(A39="","",VLOOKUP(A39,'ابنیه 95'!$A:$E,4,FALSE))</f>
        <v>365000</v>
      </c>
      <c r="E39" s="44">
        <f>'خلاصه متره '!F51</f>
        <v>833.97</v>
      </c>
      <c r="F39" s="45"/>
      <c r="G39" s="72">
        <f t="shared" si="4"/>
        <v>304399050</v>
      </c>
      <c r="H39" s="43">
        <f t="shared" si="5"/>
        <v>0</v>
      </c>
    </row>
    <row r="40" spans="1:8" ht="25.5" customHeight="1">
      <c r="A40" s="175" t="str">
        <f>'خلاصه متره '!A53</f>
        <v>060801</v>
      </c>
      <c r="B40" s="291" t="str">
        <f>IF(A40="","",VLOOKUP(A40,'ابنیه 95'!$A:$E,2,FALSE))</f>
        <v>اضافه بها براي قالب‌بندي جدار خارجي ديوارها، تيرها و ستون‌ها، با استفاده از قالب فلزي.</v>
      </c>
      <c r="C40" s="75" t="str">
        <f>IF(A40="","",VLOOKUP(A40,'ابنیه 95'!$A:$E,3,FALSE))</f>
        <v>مترمربع</v>
      </c>
      <c r="D40" s="68">
        <f>IF(A40="","",VLOOKUP(A40,'ابنیه 95'!$A:$E,4,FALSE))</f>
        <v>69000</v>
      </c>
      <c r="E40" s="44">
        <f>'خلاصه متره '!F53</f>
        <v>927.66000000000008</v>
      </c>
      <c r="F40" s="45"/>
      <c r="G40" s="72">
        <f t="shared" si="4"/>
        <v>64008540</v>
      </c>
      <c r="H40" s="43">
        <f t="shared" si="5"/>
        <v>0</v>
      </c>
    </row>
    <row r="41" spans="1:8" ht="38.25" customHeight="1">
      <c r="A41" s="175" t="str">
        <f>'خلاصه متره '!A55</f>
        <v>060806</v>
      </c>
      <c r="B41" s="291" t="str">
        <f>IF(A41="","",VLOOKUP(A41,'ابنیه 95'!$A:$E,2,FALSE))</f>
        <v>اضافه بها به رديف‌هاي قالب‌بندي با استفاده ازقالب فلزي درصورتي كه عمليات قالب‌بندي زير تراز آبهاي زيرزميني انجام شود و آبكشي با تلمبه موتوري در حين اجراي كار ضروري باشد.</v>
      </c>
      <c r="C41" s="75" t="str">
        <f>IF(A41="","",VLOOKUP(A41,'ابنیه 95'!$A:$E,3,FALSE))</f>
        <v>مترمربع</v>
      </c>
      <c r="D41" s="68">
        <f>IF(A41="","",VLOOKUP(A41,'ابنیه 95'!$A:$E,4,FALSE))</f>
        <v>58700</v>
      </c>
      <c r="E41" s="126">
        <f>'خلاصه متره '!F55</f>
        <v>1157.04</v>
      </c>
      <c r="F41" s="118"/>
      <c r="G41" s="117">
        <f t="shared" si="4"/>
        <v>67918248</v>
      </c>
      <c r="H41" s="116">
        <f t="shared" si="5"/>
        <v>0</v>
      </c>
    </row>
    <row r="42" spans="1:8" ht="20.100000000000001" customHeight="1">
      <c r="A42" s="526" t="s">
        <v>67</v>
      </c>
      <c r="B42" s="527"/>
      <c r="C42" s="527"/>
      <c r="D42" s="527"/>
      <c r="E42" s="527"/>
      <c r="F42" s="528"/>
      <c r="G42" s="40">
        <f>SUM(G35:G41)</f>
        <v>2291444868</v>
      </c>
      <c r="H42" s="41">
        <f>SUM(H35:H40)</f>
        <v>0</v>
      </c>
    </row>
    <row r="43" spans="1:8" ht="20.100000000000001" customHeight="1">
      <c r="A43" s="529" t="s">
        <v>111</v>
      </c>
      <c r="B43" s="530"/>
      <c r="C43" s="530"/>
      <c r="D43" s="530"/>
      <c r="E43" s="530"/>
      <c r="F43" s="530"/>
      <c r="G43" s="530"/>
      <c r="H43" s="531"/>
    </row>
    <row r="44" spans="1:8" ht="29.25" customHeight="1">
      <c r="A44" s="175" t="str">
        <f>'خلاصه متره '!A57</f>
        <v>070101</v>
      </c>
      <c r="B44" s="65" t="str">
        <f>IF(A44="","",VLOOKUP(A44,'ابنیه 95'!$A:$E,2,FALSE))</f>
        <v>تهيه، بريدن، خم كردن و كار گذاشتن ميل گرد ساده به قطر تا 10 ميلي‌متر، براي بتن مسلح با سيم پيچي لازم.</v>
      </c>
      <c r="C44" s="75" t="str">
        <f>IF(A44="","",VLOOKUP(A44,'ابنیه 95'!$A:$E,3,FALSE))</f>
        <v>کيلوگرم</v>
      </c>
      <c r="D44" s="68">
        <f>IF(A44="","",VLOOKUP(A44,'ابنیه 95'!$A:$E,4,FALSE))</f>
        <v>23500</v>
      </c>
      <c r="E44" s="160">
        <f>'خلاصه متره '!F57</f>
        <v>15719.304000000004</v>
      </c>
      <c r="F44" s="119"/>
      <c r="G44" s="156">
        <f t="shared" ref="G44:G50" si="8">ROUND(E44*D44,0)</f>
        <v>369403644</v>
      </c>
      <c r="H44" s="120">
        <f t="shared" ref="H44:H50" si="9">ROUND(F44*D44,0)</f>
        <v>0</v>
      </c>
    </row>
    <row r="45" spans="1:8" ht="29.25" customHeight="1">
      <c r="A45" s="175" t="str">
        <f>'خلاصه متره '!A59</f>
        <v>070201</v>
      </c>
      <c r="B45" s="291" t="str">
        <f>IF(A45="","",VLOOKUP(A45,'ابنیه 95'!$A:$E,2,FALSE))</f>
        <v>تهيه، بريدن، خم كردن و كار گذاشتن ميل گرد آجدار از نوع AII به قطر تا 10 ميلي‌متر، براي بتن مسلح با سيم پيچي لازم .</v>
      </c>
      <c r="C45" s="75" t="str">
        <f>IF(A45="","",VLOOKUP(A45,'ابنیه 95'!$A:$E,3,FALSE))</f>
        <v>کيلوگرم</v>
      </c>
      <c r="D45" s="68">
        <f>IF(A45="","",VLOOKUP(A45,'ابنیه 95'!$A:$E,4,FALSE))</f>
        <v>22300</v>
      </c>
      <c r="E45" s="160">
        <f>'خلاصه متره '!F59</f>
        <v>27682.645000000008</v>
      </c>
      <c r="F45" s="119"/>
      <c r="G45" s="156">
        <f t="shared" si="8"/>
        <v>617322984</v>
      </c>
      <c r="H45" s="120">
        <f t="shared" si="9"/>
        <v>0</v>
      </c>
    </row>
    <row r="46" spans="1:8" ht="29.25" customHeight="1">
      <c r="A46" s="175" t="str">
        <f>'خلاصه متره '!A61</f>
        <v>070204</v>
      </c>
      <c r="B46" s="291" t="str">
        <f>IF(A46="","",VLOOKUP(A46,'ابنیه 95'!$A:$E,2,FALSE))</f>
        <v>تهيه، بريدن، خم كردن و كار گذاشتن ميل گردآجدار از نوع AIII به قطر تا10 ميلي‌متر، براي بتن مسلح با سيم پيچي لازم .</v>
      </c>
      <c r="C46" s="75" t="str">
        <f>IF(A46="","",VLOOKUP(A46,'ابنیه 95'!$A:$E,3,FALSE))</f>
        <v>کيلوگرم</v>
      </c>
      <c r="D46" s="68">
        <f>IF(A46="","",VLOOKUP(A46,'ابنیه 95'!$A:$E,4,FALSE))</f>
        <v>22500</v>
      </c>
      <c r="E46" s="160">
        <f>'خلاصه متره '!F61</f>
        <v>29913.33600000001</v>
      </c>
      <c r="F46" s="119"/>
      <c r="G46" s="156">
        <f t="shared" si="8"/>
        <v>673050060</v>
      </c>
      <c r="H46" s="120">
        <f t="shared" si="9"/>
        <v>0</v>
      </c>
    </row>
    <row r="47" spans="1:8" ht="29.25" customHeight="1">
      <c r="A47" s="175" t="str">
        <f>'خلاصه متره '!A63</f>
        <v>070205</v>
      </c>
      <c r="B47" s="291" t="str">
        <f>IF(A47="","",VLOOKUP(A47,'ابنیه 95'!$A:$E,2,FALSE))</f>
        <v>تهيه، بريدن، خم كردن و كار گذاشتن ميل گردآجدار از نوع AIII به قطر 12 تا 18 ميلي‌متر، براي بتن مسلح با سيم پيچي لازم .</v>
      </c>
      <c r="C47" s="75" t="str">
        <f>IF(A47="","",VLOOKUP(A47,'ابنیه 95'!$A:$E,3,FALSE))</f>
        <v>کيلوگرم</v>
      </c>
      <c r="D47" s="68">
        <f>IF(A47="","",VLOOKUP(A47,'ابنیه 95'!$A:$E,4,FALSE))</f>
        <v>16600</v>
      </c>
      <c r="E47" s="126">
        <f>'خلاصه متره '!F63</f>
        <v>238200.44900000002</v>
      </c>
      <c r="F47" s="118"/>
      <c r="G47" s="117">
        <f t="shared" si="8"/>
        <v>3954127453</v>
      </c>
      <c r="H47" s="116">
        <f t="shared" si="9"/>
        <v>0</v>
      </c>
    </row>
    <row r="48" spans="1:8" ht="29.25" customHeight="1">
      <c r="A48" s="175" t="str">
        <f>'خلاصه متره '!A65</f>
        <v>070206</v>
      </c>
      <c r="B48" s="291" t="str">
        <f>IF(A48="","",VLOOKUP(A48,'ابنیه 95'!$A:$E,2,FALSE))</f>
        <v>تهيه، بريدن، خم كردن و كار گذاشتن ميل گردآجدار از نوع AIII به قطر20 و بيش از20 ميلي‌متر، براي بتن مسلح با سيم پيچي لازم .</v>
      </c>
      <c r="C48" s="75" t="str">
        <f>IF(A48="","",VLOOKUP(A48,'ابنیه 95'!$A:$E,3,FALSE))</f>
        <v>کيلوگرم</v>
      </c>
      <c r="D48" s="68">
        <f>IF(A48="","",VLOOKUP(A48,'ابنیه 95'!$A:$E,4,FALSE))</f>
        <v>15300</v>
      </c>
      <c r="E48" s="69">
        <f>'خلاصه متره '!F65</f>
        <v>56540.042000000009</v>
      </c>
      <c r="F48" s="67"/>
      <c r="G48" s="70">
        <f t="shared" si="8"/>
        <v>865062643</v>
      </c>
      <c r="H48" s="51">
        <f t="shared" si="9"/>
        <v>0</v>
      </c>
    </row>
    <row r="49" spans="1:8" ht="29.25" customHeight="1">
      <c r="A49" s="175" t="str">
        <f>'خلاصه متره '!A67</f>
        <v>070301</v>
      </c>
      <c r="B49" s="65" t="str">
        <f>IF(A49="","",VLOOKUP(A49,'ابنیه 95'!$A:$E,2,FALSE))</f>
        <v>اضافه بهاي مصرف ميل گرد، وقتي به صورت خرپا در تيرچه‌هاي پيش ساخته سقف سبك بتني مصرف شود.</v>
      </c>
      <c r="C49" s="75" t="str">
        <f>IF(A49="","",VLOOKUP(A49,'ابنیه 95'!$A:$E,3,FALSE))</f>
        <v>کيلوگرم</v>
      </c>
      <c r="D49" s="68">
        <f>IF(A49="","",VLOOKUP(A49,'ابنیه 95'!$A:$E,4,FALSE))</f>
        <v>725</v>
      </c>
      <c r="E49" s="69">
        <f>'خلاصه متره '!F67</f>
        <v>40578.06</v>
      </c>
      <c r="F49" s="67"/>
      <c r="G49" s="70">
        <f t="shared" si="8"/>
        <v>29419094</v>
      </c>
      <c r="H49" s="51">
        <f t="shared" si="9"/>
        <v>0</v>
      </c>
    </row>
    <row r="50" spans="1:8" ht="30" customHeight="1">
      <c r="A50" s="175" t="str">
        <f>'خلاصه متره '!A69</f>
        <v>070501</v>
      </c>
      <c r="B50" s="293" t="str">
        <f>IF(A50="","",VLOOKUP(A50,'ابنیه 95'!$A:$E,2,FALSE))</f>
        <v>اضافه بها به رديف‌هاي ميل‌گرد، چنانچه عمليات پايين تراز آب‌هاي زيرزميني انجام شود و آبكشي با تلمبه موتوري در حين اجراي كار ضروري باشد.</v>
      </c>
      <c r="C50" s="75" t="str">
        <f>IF(A50="","",VLOOKUP(A50,'ابنیه 95'!$A:$E,3,FALSE))</f>
        <v>کيلوگرم</v>
      </c>
      <c r="D50" s="68">
        <f>IF(A50="","",VLOOKUP(A50,'ابنیه 95'!$A:$E,4,FALSE))</f>
        <v>1540</v>
      </c>
      <c r="E50" s="44">
        <f>'خلاصه متره '!F69</f>
        <v>53989.880000000005</v>
      </c>
      <c r="F50" s="45"/>
      <c r="G50" s="72">
        <f t="shared" si="8"/>
        <v>83144415</v>
      </c>
      <c r="H50" s="43">
        <f t="shared" si="9"/>
        <v>0</v>
      </c>
    </row>
    <row r="51" spans="1:8" ht="20.100000000000001" customHeight="1">
      <c r="A51" s="526" t="s">
        <v>68</v>
      </c>
      <c r="B51" s="527"/>
      <c r="C51" s="527"/>
      <c r="D51" s="527"/>
      <c r="E51" s="527"/>
      <c r="F51" s="528"/>
      <c r="G51" s="40">
        <f>SUM(G44:G50)</f>
        <v>6591530293</v>
      </c>
      <c r="H51" s="41">
        <f>SUM(H44:H48)</f>
        <v>0</v>
      </c>
    </row>
    <row r="52" spans="1:8" ht="20.100000000000001" customHeight="1">
      <c r="A52" s="529" t="s">
        <v>96</v>
      </c>
      <c r="B52" s="530"/>
      <c r="C52" s="530"/>
      <c r="D52" s="530"/>
      <c r="E52" s="530"/>
      <c r="F52" s="530"/>
      <c r="G52" s="530"/>
      <c r="H52" s="531"/>
    </row>
    <row r="53" spans="1:8" ht="27" customHeight="1">
      <c r="A53" s="175" t="str">
        <f>'خلاصه متره '!A71</f>
        <v>080102</v>
      </c>
      <c r="B53" s="65" t="str">
        <f>IF(A53="","",VLOOKUP(A53,'ابنیه 95'!$A:$E,2,FALSE))</f>
        <v>تهيه و اجراي بتن با شن و ماسه شسته طبيعي يا شكسته، با 150 كيلو گرم سيمان در متر مكعب بتن.</v>
      </c>
      <c r="C53" s="75" t="str">
        <f>IF(A53="","",VLOOKUP(A53,'ابنیه 95'!$A:$E,3,FALSE))</f>
        <v>مترمکعب</v>
      </c>
      <c r="D53" s="68">
        <f>IF(A53="","",VLOOKUP(A53,'ابنیه 95'!$A:$E,4,FALSE))</f>
        <v>824000</v>
      </c>
      <c r="E53" s="69">
        <f>'خلاصه متره '!F71</f>
        <v>91.26</v>
      </c>
      <c r="F53" s="67"/>
      <c r="G53" s="70">
        <f t="shared" ref="G53:G62" si="10">ROUND(E53*D53,0)</f>
        <v>75198240</v>
      </c>
      <c r="H53" s="51">
        <f t="shared" ref="H53:H62" si="11">ROUND(F53*D53,0)</f>
        <v>0</v>
      </c>
    </row>
    <row r="54" spans="1:8" ht="27" customHeight="1">
      <c r="A54" s="175" t="str">
        <f>'خلاصه متره '!A73</f>
        <v>080103</v>
      </c>
      <c r="B54" s="65" t="str">
        <f>IF(A54="","",VLOOKUP(A54,'ابنیه 95'!$A:$E,2,FALSE))</f>
        <v>تهيه و اجراي بتن با شن و ماسه شسته طبيعي يا شکسته با مقاومت فشاري مشخصه 12 مگاپاسكال.</v>
      </c>
      <c r="C54" s="75" t="str">
        <f>IF(A54="","",VLOOKUP(A54,'ابنیه 95'!$A:$E,3,FALSE))</f>
        <v>مترمکعب</v>
      </c>
      <c r="D54" s="68">
        <f>IF(A54="","",VLOOKUP(A54,'ابنیه 95'!$A:$E,4,FALSE))</f>
        <v>903000</v>
      </c>
      <c r="E54" s="69">
        <f>'خلاصه متره '!F73</f>
        <v>360.54999999999995</v>
      </c>
      <c r="F54" s="67"/>
      <c r="G54" s="70">
        <f t="shared" ref="G54" si="12">ROUND(E54*D54,0)</f>
        <v>325576650</v>
      </c>
      <c r="H54" s="51">
        <f t="shared" ref="H54" si="13">ROUND(F54*D54,0)</f>
        <v>0</v>
      </c>
    </row>
    <row r="55" spans="1:8" ht="27" customHeight="1">
      <c r="A55" s="175" t="str">
        <f>'خلاصه متره '!A75</f>
        <v>080106</v>
      </c>
      <c r="B55" s="65" t="str">
        <f>IF(A55="","",VLOOKUP(A55,'ابنیه 95'!$A:$E,2,FALSE))</f>
        <v>تهيه و اجراي بتن با شن و ماسه شسته طبيعي يا شکسته با مقاومت فشاري مشخصه 25 مگاپاسكال.</v>
      </c>
      <c r="C55" s="75" t="str">
        <f>IF(A55="","",VLOOKUP(A55,'ابنیه 95'!$A:$E,3,FALSE))</f>
        <v>مترمکعب</v>
      </c>
      <c r="D55" s="68">
        <f>IF(A55="","",VLOOKUP(A55,'ابنیه 95'!$A:$E,4,FALSE))</f>
        <v>1046000</v>
      </c>
      <c r="E55" s="69">
        <f>'خلاصه متره '!F75</f>
        <v>480.43999999999994</v>
      </c>
      <c r="F55" s="67"/>
      <c r="G55" s="70">
        <f t="shared" si="10"/>
        <v>502540240</v>
      </c>
      <c r="H55" s="51">
        <f t="shared" si="11"/>
        <v>0</v>
      </c>
    </row>
    <row r="56" spans="1:8" ht="27" customHeight="1">
      <c r="A56" s="175" t="str">
        <f>'خلاصه متره '!A77</f>
        <v>080107</v>
      </c>
      <c r="B56" s="65" t="str">
        <f>IF(A56="","",VLOOKUP(A56,'ابنیه 95'!$A:$E,2,FALSE))</f>
        <v>تهيه و اجراي بتن با شن و ماسه شسته طبيعي يا شکسته با مقاومت فشاري مشخصه 30 مگاپاسكال.</v>
      </c>
      <c r="C56" s="75" t="str">
        <f>IF(A56="","",VLOOKUP(A56,'ابنیه 95'!$A:$E,3,FALSE))</f>
        <v>مترمکعب</v>
      </c>
      <c r="D56" s="68">
        <f>IF(A56="","",VLOOKUP(A56,'ابنیه 95'!$A:$E,4,FALSE))</f>
        <v>1119000</v>
      </c>
      <c r="E56" s="44">
        <f>'خلاصه متره '!F77</f>
        <v>668.71999999999991</v>
      </c>
      <c r="F56" s="45"/>
      <c r="G56" s="72">
        <f t="shared" si="10"/>
        <v>748297680</v>
      </c>
      <c r="H56" s="43">
        <f t="shared" si="11"/>
        <v>0</v>
      </c>
    </row>
    <row r="57" spans="1:8" ht="27" customHeight="1">
      <c r="A57" s="175" t="str">
        <f>'خلاصه متره '!A79</f>
        <v>080202</v>
      </c>
      <c r="B57" s="65" t="str">
        <f>IF(A57="","",VLOOKUP(A57,'ابنیه 95'!$A:$E,2,FALSE))</f>
        <v>تهيه و اجراي بتن سبك با پوكه صنعتي و 150 كيلوگرم سيمان در متر مكعب بتن.</v>
      </c>
      <c r="C57" s="75" t="str">
        <f>IF(A57="","",VLOOKUP(A57,'ابنیه 95'!$A:$E,3,FALSE))</f>
        <v>مترمکعب</v>
      </c>
      <c r="D57" s="68">
        <f>IF(A57="","",VLOOKUP(A57,'ابنیه 95'!$A:$E,4,FALSE))</f>
        <v>1568000</v>
      </c>
      <c r="E57" s="44">
        <f>'خلاصه متره '!F79</f>
        <v>150</v>
      </c>
      <c r="F57" s="45"/>
      <c r="G57" s="72">
        <f t="shared" ref="G57" si="14">ROUND(E57*D57,0)</f>
        <v>235200000</v>
      </c>
      <c r="H57" s="43">
        <f t="shared" ref="H57" si="15">ROUND(F57*D57,0)</f>
        <v>0</v>
      </c>
    </row>
    <row r="58" spans="1:8" ht="27" customHeight="1">
      <c r="A58" s="175" t="str">
        <f>'خلاصه متره '!A81</f>
        <v>080301</v>
      </c>
      <c r="B58" s="65" t="str">
        <f>IF(A58="","",VLOOKUP(A58,'ابنیه 95'!$A:$E,2,FALSE))</f>
        <v>اضافه بها براي بتن‌ريزي ستون‌ها، ديوارها و همچنين شناژها و تيرهايي كه جدا از سقف بتن‌ريزي شوند.</v>
      </c>
      <c r="C58" s="75" t="str">
        <f>IF(A58="","",VLOOKUP(A58,'ابنیه 95'!$A:$E,3,FALSE))</f>
        <v>مترمکعب</v>
      </c>
      <c r="D58" s="68">
        <f>IF(A58="","",VLOOKUP(A58,'ابنیه 95'!$A:$E,4,FALSE))</f>
        <v>209500</v>
      </c>
      <c r="E58" s="69">
        <f>'خلاصه متره '!F81</f>
        <v>67.77</v>
      </c>
      <c r="F58" s="144"/>
      <c r="G58" s="70">
        <f t="shared" si="10"/>
        <v>14197815</v>
      </c>
      <c r="H58" s="51">
        <f t="shared" si="11"/>
        <v>0</v>
      </c>
    </row>
    <row r="59" spans="1:8" ht="27" customHeight="1">
      <c r="A59" s="175" t="str">
        <f>'خلاصه متره '!A83</f>
        <v>080305</v>
      </c>
      <c r="B59" s="65" t="str">
        <f>IF(A59="","",VLOOKUP(A59,'ابنیه 95'!$A:$E,2,FALSE))</f>
        <v>اضافه بها براي كرم‌بندي به منظور هدايت آب (حجم كل بتن كه براي آن كرم‌بندي انجام شده ملاك محاسبه است).</v>
      </c>
      <c r="C59" s="75" t="str">
        <f>IF(A59="","",VLOOKUP(A59,'ابنیه 95'!$A:$E,3,FALSE))</f>
        <v>مترمکعب</v>
      </c>
      <c r="D59" s="68">
        <f>IF(A59="","",VLOOKUP(A59,'ابنیه 95'!$A:$E,4,FALSE))</f>
        <v>24000</v>
      </c>
      <c r="E59" s="69">
        <f>'خلاصه متره '!F83</f>
        <v>150</v>
      </c>
      <c r="F59" s="144"/>
      <c r="G59" s="70">
        <f t="shared" ref="G59" si="16">ROUND(E59*D59,0)</f>
        <v>3600000</v>
      </c>
      <c r="H59" s="51">
        <f t="shared" ref="H59" si="17">ROUND(F59*D59,0)</f>
        <v>0</v>
      </c>
    </row>
    <row r="60" spans="1:8" ht="18.75" customHeight="1">
      <c r="A60" s="175" t="str">
        <f>'خلاصه متره '!A85</f>
        <v>080306</v>
      </c>
      <c r="B60" s="65" t="str">
        <f>IF(A60="","",VLOOKUP(A60,'ابنیه 95'!$A:$E,2,FALSE))</f>
        <v>اضافه بها براي بتن كف‌سازي‌ها با هر وسيله و به هر ضخامت.</v>
      </c>
      <c r="C60" s="75" t="str">
        <f>IF(A60="","",VLOOKUP(A60,'ابنیه 95'!$A:$E,3,FALSE))</f>
        <v>مترمکعب</v>
      </c>
      <c r="D60" s="68">
        <f>IF(A60="","",VLOOKUP(A60,'ابنیه 95'!$A:$E,4,FALSE))</f>
        <v>69000</v>
      </c>
      <c r="E60" s="69">
        <f>'خلاصه متره '!F85</f>
        <v>386.39000000000004</v>
      </c>
      <c r="F60" s="144"/>
      <c r="G60" s="70">
        <f t="shared" ref="G60" si="18">ROUND(E60*D60,0)</f>
        <v>26660910</v>
      </c>
      <c r="H60" s="51">
        <f t="shared" ref="H60" si="19">ROUND(F60*D60,0)</f>
        <v>0</v>
      </c>
    </row>
    <row r="61" spans="1:8" ht="27" customHeight="1">
      <c r="A61" s="175" t="str">
        <f>'خلاصه متره '!A87</f>
        <v>080307</v>
      </c>
      <c r="B61" s="65" t="str">
        <f>IF(A61="","",VLOOKUP(A61,'ابنیه 95'!$A:$E,2,FALSE))</f>
        <v>اضافه بها براي هرنوع بتن‌ريزي كه پايين تراز آب انجام شود و آبكشي حين انجام كار با تلمبه موتوري الزامي باشد.</v>
      </c>
      <c r="C61" s="75" t="str">
        <f>IF(A61="","",VLOOKUP(A61,'ابنیه 95'!$A:$E,3,FALSE))</f>
        <v>مترمکعب</v>
      </c>
      <c r="D61" s="68">
        <f>IF(A61="","",VLOOKUP(A61,'ابنیه 95'!$A:$E,4,FALSE))</f>
        <v>94100</v>
      </c>
      <c r="E61" s="44">
        <f>'خلاصه متره '!F87</f>
        <v>571.69999999999993</v>
      </c>
      <c r="F61" s="45"/>
      <c r="G61" s="72">
        <f t="shared" si="10"/>
        <v>53796970</v>
      </c>
      <c r="H61" s="43">
        <f t="shared" si="11"/>
        <v>0</v>
      </c>
    </row>
    <row r="62" spans="1:8" ht="26.25" customHeight="1">
      <c r="A62" s="175" t="str">
        <f>'خلاصه متره '!A89</f>
        <v>080310</v>
      </c>
      <c r="B62" s="65" t="str">
        <f>IF(A62="","",VLOOKUP(A62,'ابنیه 95'!$A:$E,2,FALSE))</f>
        <v>اضافه بها به رديف‌هاي بتن‌ريزي، در صورت مصرف بتن در بتن مسلح.</v>
      </c>
      <c r="C62" s="75" t="str">
        <f>IF(A62="","",VLOOKUP(A62,'ابنیه 95'!$A:$E,3,FALSE))</f>
        <v>مترمکعب</v>
      </c>
      <c r="D62" s="68">
        <f>IF(A62="","",VLOOKUP(A62,'ابنیه 95'!$A:$E,4,FALSE))</f>
        <v>30700</v>
      </c>
      <c r="E62" s="69">
        <f>'خلاصه متره '!F89</f>
        <v>722.0899999999998</v>
      </c>
      <c r="F62" s="144"/>
      <c r="G62" s="70">
        <f t="shared" si="10"/>
        <v>22168163</v>
      </c>
      <c r="H62" s="51">
        <f t="shared" si="11"/>
        <v>0</v>
      </c>
    </row>
    <row r="63" spans="1:8" ht="20.100000000000001" customHeight="1">
      <c r="A63" s="526" t="s">
        <v>97</v>
      </c>
      <c r="B63" s="527"/>
      <c r="C63" s="527"/>
      <c r="D63" s="527"/>
      <c r="E63" s="527"/>
      <c r="F63" s="528"/>
      <c r="G63" s="40">
        <f>SUM(G53:G62)</f>
        <v>2007236668</v>
      </c>
      <c r="H63" s="41">
        <f>SUM(H49:H58)</f>
        <v>0</v>
      </c>
    </row>
    <row r="64" spans="1:8" ht="20.100000000000001" customHeight="1">
      <c r="A64" s="529" t="s">
        <v>114</v>
      </c>
      <c r="B64" s="530"/>
      <c r="C64" s="530"/>
      <c r="D64" s="530"/>
      <c r="E64" s="532"/>
      <c r="F64" s="532"/>
      <c r="G64" s="532"/>
      <c r="H64" s="533"/>
    </row>
    <row r="65" spans="1:8" ht="18.75" customHeight="1">
      <c r="A65" s="175" t="str">
        <f>'خلاصه متره '!A91</f>
        <v>090201</v>
      </c>
      <c r="B65" s="65" t="str">
        <f>IF(A65="","",VLOOKUP(A65,'ابنیه 95'!$A:$E,2,FALSE))</f>
        <v>تهيه و كار گذاشتن تير ساده (تيرريزي ساده) از يك تيرآهن.</v>
      </c>
      <c r="C65" s="75" t="str">
        <f>IF(A65="","",VLOOKUP(A65,'ابنیه 95'!$A:$E,3,FALSE))</f>
        <v>کيلوگرم</v>
      </c>
      <c r="D65" s="68">
        <f>IF(A65="","",VLOOKUP(A65,'ابنیه 95'!$A:$E,4,FALSE))</f>
        <v>20100</v>
      </c>
      <c r="E65" s="69">
        <f>'خلاصه متره '!F91</f>
        <v>7.61</v>
      </c>
      <c r="F65" s="67">
        <v>0</v>
      </c>
      <c r="G65" s="70">
        <f>ROUND(E65*D65,0)</f>
        <v>152961</v>
      </c>
      <c r="H65" s="51">
        <f>ROUND(F65*D65,0)</f>
        <v>0</v>
      </c>
    </row>
    <row r="66" spans="1:8" ht="27.75" customHeight="1">
      <c r="A66" s="175" t="str">
        <f>'خلاصه متره '!A93</f>
        <v>090207</v>
      </c>
      <c r="B66" s="65" t="str">
        <f>IF(A66="","",VLOOKUP(A66,'ابنیه 95'!$A:$E,2,FALSE))</f>
        <v>تهيه، ساخت و نصب جويست (تير مشبك سبك)، متشكل از نبشي، سپري، تسمه و ميل گرد، با جوشكاري و ساييدن.</v>
      </c>
      <c r="C66" s="75" t="str">
        <f>IF(A66="","",VLOOKUP(A66,'ابنیه 95'!$A:$E,3,FALSE))</f>
        <v>کيلوگرم</v>
      </c>
      <c r="D66" s="68">
        <f>IF(A66="","",VLOOKUP(A66,'ابنیه 95'!$A:$E,4,FALSE))</f>
        <v>23700</v>
      </c>
      <c r="E66" s="69">
        <f>'خلاصه متره '!F93</f>
        <v>400</v>
      </c>
      <c r="F66" s="67">
        <v>0</v>
      </c>
      <c r="G66" s="70">
        <f>ROUND(E66*D66,0)</f>
        <v>9480000</v>
      </c>
      <c r="H66" s="51">
        <f>ROUND(F66*D66,0)</f>
        <v>0</v>
      </c>
    </row>
    <row r="67" spans="1:8" ht="36.75" customHeight="1">
      <c r="A67" s="248" t="str">
        <f>'خلاصه متره '!A95</f>
        <v>090701</v>
      </c>
      <c r="B67" s="293" t="str">
        <f>IF(A67="","",VLOOKUP(A67,'ابنیه 95'!$A:$E,2,FALSE))</f>
        <v>تهيه و ساخت قطعات آهني اتصالي و نصب در داخل كارهاي بتني يا بنايي قبل از اجراي كارهاي ياد شده، از نبشي، سپري، ورق، تسمه، ميل گرد، لوله و مانند آن، با شاخك‌هاي لازم، جوشكاري، برشكاري، سوراخكاري و ساييدن، به طوركامل.</v>
      </c>
      <c r="C67" s="75" t="str">
        <f>IF(A67="","",VLOOKUP(A67,'ابنیه 95'!$A:$E,3,FALSE))</f>
        <v>کيلوگرم</v>
      </c>
      <c r="D67" s="68">
        <f>IF(A67="","",VLOOKUP(A67,'ابنیه 95'!$A:$E,4,FALSE))</f>
        <v>35000</v>
      </c>
      <c r="E67" s="69">
        <f>'خلاصه متره '!F95</f>
        <v>2200.33</v>
      </c>
      <c r="F67" s="67">
        <v>0</v>
      </c>
      <c r="G67" s="70">
        <f>ROUND(E67*D67,0)</f>
        <v>77011550</v>
      </c>
      <c r="H67" s="51">
        <f>ROUND(F67*D67,0)</f>
        <v>0</v>
      </c>
    </row>
    <row r="68" spans="1:8" ht="27" customHeight="1">
      <c r="A68" s="248" t="str">
        <f>'خلاصه متره '!A97</f>
        <v>090802</v>
      </c>
      <c r="B68" s="65" t="str">
        <f>IF(A68="","",VLOOKUP(A68,'ابنیه 95'!$A:$E,2,FALSE))</f>
        <v>جوشكاري براي بعد موثر بيش از 5 ميلي‌متر تا 7 ميلي‌متر با ساييدن. با توجه به بند 7 مقدمه فصل.</v>
      </c>
      <c r="C68" s="75" t="str">
        <f>IF(A68="","",VLOOKUP(A68,'ابنیه 95'!$A:$E,3,FALSE))</f>
        <v>مترطول</v>
      </c>
      <c r="D68" s="68">
        <f>IF(A68="","",VLOOKUP(A68,'ابنیه 95'!$A:$E,4,FALSE))</f>
        <v>156500</v>
      </c>
      <c r="E68" s="69">
        <f>'خلاصه متره '!F97</f>
        <v>204.38</v>
      </c>
      <c r="F68" s="67">
        <v>0</v>
      </c>
      <c r="G68" s="70">
        <f>ROUND(E68*D68,0)</f>
        <v>31985470</v>
      </c>
      <c r="H68" s="51">
        <f>ROUND(F68*D68,0)</f>
        <v>0</v>
      </c>
    </row>
    <row r="69" spans="1:8" ht="27" customHeight="1">
      <c r="A69" s="248" t="str">
        <f>'خلاصه متره '!A99</f>
        <v>****</v>
      </c>
      <c r="B69" s="65" t="str">
        <f>'ريزمتره ابینه'!B1136:I1136</f>
        <v>نبشی کشی با انواع نبشی جهت تیغه کشی ها و نماسازیها و جان پناه بام و داکت کانال کولر ها همراه با ضد زنگ</v>
      </c>
      <c r="C69" s="75" t="s">
        <v>335</v>
      </c>
      <c r="D69" s="68">
        <v>22000</v>
      </c>
      <c r="E69" s="69">
        <f>'خلاصه متره '!F99</f>
        <v>3045.8960999999999</v>
      </c>
      <c r="F69" s="67">
        <v>0</v>
      </c>
      <c r="G69" s="70">
        <f>ROUND(E69*D69,0)</f>
        <v>67009714</v>
      </c>
      <c r="H69" s="51">
        <f>ROUND(F69*D69,0)</f>
        <v>0</v>
      </c>
    </row>
    <row r="70" spans="1:8" ht="20.100000000000001" customHeight="1">
      <c r="A70" s="526" t="s">
        <v>95</v>
      </c>
      <c r="B70" s="527"/>
      <c r="C70" s="527"/>
      <c r="D70" s="527"/>
      <c r="E70" s="527"/>
      <c r="F70" s="528"/>
      <c r="G70" s="40">
        <f>SUM(G65:G69)</f>
        <v>185639695</v>
      </c>
      <c r="H70" s="41">
        <f>SUM(H68:H68)</f>
        <v>0</v>
      </c>
    </row>
    <row r="71" spans="1:8" ht="20.100000000000001" customHeight="1">
      <c r="A71" s="529" t="s">
        <v>163</v>
      </c>
      <c r="B71" s="530"/>
      <c r="C71" s="530"/>
      <c r="D71" s="530"/>
      <c r="E71" s="532"/>
      <c r="F71" s="532"/>
      <c r="G71" s="532"/>
      <c r="H71" s="533"/>
    </row>
    <row r="72" spans="1:8" ht="39.9" customHeight="1">
      <c r="A72" s="175">
        <f>'خلاصه متره '!A101</f>
        <v>100104</v>
      </c>
      <c r="B72" s="65" t="str">
        <f>IF(A72="","",VLOOKUP(A72,'ابنیه 95'!$A:$E,2,FALSE))</f>
        <v>اجراي سقف بتني به ضخامت 35 سانتي‌متر با تيرچه و بلوك توخالي بتني، شامل تهيه تمام مصالح به استثناي ميل‌گرد، و همچنين تهيه تجهيزات مورد لزوم به طور كامل.</v>
      </c>
      <c r="C72" s="75" t="str">
        <f>IF(A72="","",VLOOKUP(A72,'ابنیه 95'!$A:$E,3,FALSE))</f>
        <v>مترمربع</v>
      </c>
      <c r="D72" s="68">
        <f>IF(A72="","",VLOOKUP(A72,'ابنیه 95'!$A:$E,4,FALSE))</f>
        <v>573500</v>
      </c>
      <c r="E72" s="69">
        <f>'خلاصه متره '!F101</f>
        <v>3393.3899999999994</v>
      </c>
      <c r="F72" s="67">
        <v>0</v>
      </c>
      <c r="G72" s="70">
        <f>ROUND(E72*D72,0)</f>
        <v>1946109165</v>
      </c>
      <c r="H72" s="51">
        <f>ROUND(F72*D72,0)</f>
        <v>0</v>
      </c>
    </row>
    <row r="73" spans="1:8" ht="27" customHeight="1">
      <c r="A73" s="175">
        <f>'خلاصه متره '!A103</f>
        <v>100404</v>
      </c>
      <c r="B73" s="65" t="str">
        <f>IF(A73="","",VLOOKUP(A73,'ابنیه 95'!$A:$E,2,FALSE))</f>
        <v>اضافه بها به رديف‌هاي سقف سبك با بلوك بتني در صورتي كه در تهيه بلوك از پوكه استفاده شده باشد.</v>
      </c>
      <c r="C73" s="75" t="str">
        <f>IF(A73="","",VLOOKUP(A73,'ابنیه 95'!$A:$E,3,FALSE))</f>
        <v>مترمربع</v>
      </c>
      <c r="D73" s="68">
        <f>IF(A73="","",VLOOKUP(A73,'ابنیه 95'!$A:$E,4,FALSE))</f>
        <v>40400</v>
      </c>
      <c r="E73" s="69">
        <f>'خلاصه متره '!F103</f>
        <v>3393.3899999999994</v>
      </c>
      <c r="F73" s="67">
        <v>0</v>
      </c>
      <c r="G73" s="70">
        <f>ROUND(E73*D73,0)</f>
        <v>137092956</v>
      </c>
      <c r="H73" s="51">
        <f>ROUND(F73*D73,0)</f>
        <v>0</v>
      </c>
    </row>
    <row r="74" spans="1:8" ht="20.100000000000001" customHeight="1">
      <c r="A74" s="526" t="s">
        <v>177</v>
      </c>
      <c r="B74" s="527"/>
      <c r="C74" s="527"/>
      <c r="D74" s="527"/>
      <c r="E74" s="527"/>
      <c r="F74" s="528"/>
      <c r="G74" s="40">
        <f>SUM(G72:G73)</f>
        <v>2083202121</v>
      </c>
      <c r="H74" s="41">
        <f>SUM(H72:H73)</f>
        <v>0</v>
      </c>
    </row>
    <row r="75" spans="1:8" ht="20.100000000000001" customHeight="1">
      <c r="A75" s="529" t="str">
        <f>'ريزمتره ابینه'!A1215:I1215</f>
        <v>فصل یازدهم- آجركاري و شفته ريزي</v>
      </c>
      <c r="B75" s="530"/>
      <c r="C75" s="530"/>
      <c r="D75" s="530"/>
      <c r="E75" s="532"/>
      <c r="F75" s="532"/>
      <c r="G75" s="532"/>
      <c r="H75" s="533"/>
    </row>
    <row r="76" spans="1:8" ht="27" customHeight="1">
      <c r="A76" s="175">
        <f>'خلاصه متره '!A105</f>
        <v>110201</v>
      </c>
      <c r="B76" s="65" t="str">
        <f>IF(A76="","",VLOOKUP(A76,'ابنیه 95'!$A:$E,2,FALSE))</f>
        <v>آجركاري با آجر فشاري به ضخامت يك و نيم آجر و بيشتر و ملات ماسه سيمان 1:6.</v>
      </c>
      <c r="C76" s="75" t="str">
        <f>IF(A76="","",VLOOKUP(A76,'ابنیه 95'!$A:$E,3,FALSE))</f>
        <v>مترمکعب</v>
      </c>
      <c r="D76" s="68">
        <f>IF(A76="","",VLOOKUP(A76,'ابنیه 95'!$A:$E,4,FALSE))</f>
        <v>1597000</v>
      </c>
      <c r="E76" s="69">
        <f>'خلاصه متره '!F105</f>
        <v>328.32</v>
      </c>
      <c r="F76" s="67">
        <v>0</v>
      </c>
      <c r="G76" s="70">
        <f t="shared" ref="G76:G81" si="20">ROUND(E76*D76,0)</f>
        <v>524327040</v>
      </c>
      <c r="H76" s="51">
        <f t="shared" ref="H76:H81" si="21">ROUND(F76*D76,0)</f>
        <v>0</v>
      </c>
    </row>
    <row r="77" spans="1:8" ht="18" customHeight="1">
      <c r="A77" s="175">
        <f>'خلاصه متره '!A107</f>
        <v>110205</v>
      </c>
      <c r="B77" s="65" t="str">
        <f>IF(A77="","",VLOOKUP(A77,'ابنیه 95'!$A:$E,2,FALSE))</f>
        <v>ديوار يك آجره با آجر فشاري و ملات ماسه سيمان 1:6.</v>
      </c>
      <c r="C77" s="75" t="str">
        <f>IF(A77="","",VLOOKUP(A77,'ابنیه 95'!$A:$E,3,FALSE))</f>
        <v>مترمربع</v>
      </c>
      <c r="D77" s="68">
        <f>IF(A77="","",VLOOKUP(A77,'ابنیه 95'!$A:$E,4,FALSE))</f>
        <v>359500</v>
      </c>
      <c r="E77" s="69">
        <f>'خلاصه متره '!F107</f>
        <v>2720.27</v>
      </c>
      <c r="F77" s="67">
        <v>0</v>
      </c>
      <c r="G77" s="70">
        <f t="shared" si="20"/>
        <v>977937065</v>
      </c>
      <c r="H77" s="51">
        <f t="shared" si="21"/>
        <v>0</v>
      </c>
    </row>
    <row r="78" spans="1:8" ht="18" customHeight="1">
      <c r="A78" s="175">
        <f>'خلاصه متره '!A109</f>
        <v>110208</v>
      </c>
      <c r="B78" s="65" t="str">
        <f>IF(A78="","",VLOOKUP(A78,'ابنیه 95'!$A:$E,2,FALSE))</f>
        <v>ديوار نيم آجره با آجر فشاري و ملات ماسه سيمان 1:6.</v>
      </c>
      <c r="C78" s="75" t="str">
        <f>IF(A78="","",VLOOKUP(A78,'ابنیه 95'!$A:$E,3,FALSE))</f>
        <v>مترمربع</v>
      </c>
      <c r="D78" s="68">
        <f>IF(A78="","",VLOOKUP(A78,'ابنیه 95'!$A:$E,4,FALSE))</f>
        <v>186000</v>
      </c>
      <c r="E78" s="69">
        <f>'خلاصه متره '!F109</f>
        <v>2720.27</v>
      </c>
      <c r="F78" s="67">
        <v>0</v>
      </c>
      <c r="G78" s="70">
        <f t="shared" si="20"/>
        <v>505970220</v>
      </c>
      <c r="H78" s="51">
        <f t="shared" si="21"/>
        <v>0</v>
      </c>
    </row>
    <row r="79" spans="1:8" ht="27" customHeight="1">
      <c r="A79" s="175">
        <f>'خلاصه متره '!A111</f>
        <v>110402</v>
      </c>
      <c r="B79" s="65" t="str">
        <f>IF(A79="","",VLOOKUP(A79,'ابنیه 95'!$A:$E,2,FALSE))</f>
        <v>آجر كاري با بلوك سفالي (آجر تيغه‌اي) به ضخامت 12 تا 22 سانتي‌متر و ملات ماسه سيمان 1:6.</v>
      </c>
      <c r="C79" s="75" t="str">
        <f>IF(A79="","",VLOOKUP(A79,'ابنیه 95'!$A:$E,3,FALSE))</f>
        <v>مترمکعب</v>
      </c>
      <c r="D79" s="68">
        <f>IF(A79="","",VLOOKUP(A79,'ابنیه 95'!$A:$E,4,FALSE))</f>
        <v>1438000</v>
      </c>
      <c r="E79" s="69">
        <f>'خلاصه متره '!F111</f>
        <v>789.62</v>
      </c>
      <c r="F79" s="67">
        <v>0</v>
      </c>
      <c r="G79" s="70">
        <f t="shared" si="20"/>
        <v>1135473560</v>
      </c>
      <c r="H79" s="51">
        <f t="shared" si="21"/>
        <v>0</v>
      </c>
    </row>
    <row r="80" spans="1:8" ht="27" customHeight="1">
      <c r="A80" s="175">
        <f>'خلاصه متره '!A113</f>
        <v>110504</v>
      </c>
      <c r="B80" s="65" t="str">
        <f>IF(A80="","",VLOOKUP(A80,'ابنیه 95'!$A:$E,2,FALSE))</f>
        <v>تيغه آجري به ضخامت 5 تا 6 سانتي‌متر با آجر ماشيني سوراخ‌دار به ابعاد آجر فشاري، با ملات گچ و خاك.</v>
      </c>
      <c r="C80" s="75" t="str">
        <f>IF(A80="","",VLOOKUP(A80,'ابنیه 95'!$A:$E,3,FALSE))</f>
        <v>مترمربع</v>
      </c>
      <c r="D80" s="68">
        <f>IF(A80="","",VLOOKUP(A80,'ابنیه 95'!$A:$E,4,FALSE))</f>
        <v>108000</v>
      </c>
      <c r="E80" s="69">
        <f>'خلاصه متره '!F113</f>
        <v>2720.27</v>
      </c>
      <c r="F80" s="67">
        <v>0</v>
      </c>
      <c r="G80" s="70">
        <f t="shared" si="20"/>
        <v>293789160</v>
      </c>
      <c r="H80" s="51">
        <f t="shared" si="21"/>
        <v>0</v>
      </c>
    </row>
    <row r="81" spans="1:8" ht="17.25" customHeight="1">
      <c r="A81" s="175" t="str">
        <f>'خلاصه متره '!A115</f>
        <v>111004*</v>
      </c>
      <c r="B81" s="249" t="str">
        <f>'ريزمتره ابینه'!B1310:I1310</f>
        <v xml:space="preserve">گوم 80 سانتی برای چاههای فاضلاب </v>
      </c>
      <c r="C81" s="75" t="s">
        <v>161</v>
      </c>
      <c r="D81" s="68">
        <v>350000</v>
      </c>
      <c r="E81" s="74">
        <f>'خلاصه متره '!F115</f>
        <v>168</v>
      </c>
      <c r="F81" s="69">
        <v>0</v>
      </c>
      <c r="G81" s="70">
        <f t="shared" si="20"/>
        <v>58800000</v>
      </c>
      <c r="H81" s="51">
        <f t="shared" si="21"/>
        <v>0</v>
      </c>
    </row>
    <row r="82" spans="1:8" ht="20.100000000000001" customHeight="1">
      <c r="A82" s="526" t="s">
        <v>176</v>
      </c>
      <c r="B82" s="527"/>
      <c r="C82" s="527"/>
      <c r="D82" s="527"/>
      <c r="E82" s="527"/>
      <c r="F82" s="528"/>
      <c r="G82" s="40">
        <f>SUM(G76:G81)</f>
        <v>3496297045</v>
      </c>
      <c r="H82" s="41">
        <f>SUM(H77:H78)</f>
        <v>0</v>
      </c>
    </row>
    <row r="83" spans="1:8" ht="20.100000000000001" customHeight="1">
      <c r="A83" s="529" t="s">
        <v>175</v>
      </c>
      <c r="B83" s="530"/>
      <c r="C83" s="530"/>
      <c r="D83" s="530"/>
      <c r="E83" s="532"/>
      <c r="F83" s="532"/>
      <c r="G83" s="532"/>
      <c r="H83" s="533"/>
    </row>
    <row r="84" spans="1:8" ht="48" customHeight="1">
      <c r="A84" s="175">
        <f>'خلاصه متره '!A117</f>
        <v>130303</v>
      </c>
      <c r="B84" s="65" t="str">
        <f>IF(A84="","",VLOOKUP(A84,'ابنیه 95'!$A:$E,2,FALSE))</f>
        <v>عايق كاري رطوبتي، با عايق پيش ساخته درجه يك متشكل از قير و الياف پلي استر و تيشو به ضخامت 4 ميلي‌متر، به انضمام قشرآستر براي سطوح حمام‌ها، توالت‌ها و روي پي‌ها.</v>
      </c>
      <c r="C84" s="75" t="str">
        <f>IF(A84="","",VLOOKUP(A84,'ابنیه 95'!$A:$E,3,FALSE))</f>
        <v>مترمربع</v>
      </c>
      <c r="D84" s="68">
        <f>IF(A84="","",VLOOKUP(A84,'ابنیه 95'!$A:$E,4,FALSE))</f>
        <v>107000</v>
      </c>
      <c r="E84" s="69">
        <f>'خلاصه متره '!F117</f>
        <v>1997.3200000000002</v>
      </c>
      <c r="F84" s="67">
        <v>0</v>
      </c>
      <c r="G84" s="70">
        <f>ROUND(E84*D84,0)</f>
        <v>213713240</v>
      </c>
      <c r="H84" s="51">
        <f>ROUND(F84*D84,0)</f>
        <v>0</v>
      </c>
    </row>
    <row r="85" spans="1:8" ht="20.100000000000001" customHeight="1">
      <c r="A85" s="526" t="s">
        <v>181</v>
      </c>
      <c r="B85" s="527"/>
      <c r="C85" s="527"/>
      <c r="D85" s="527"/>
      <c r="E85" s="527"/>
      <c r="F85" s="528"/>
      <c r="G85" s="40">
        <f>SUM(G84:G84)</f>
        <v>213713240</v>
      </c>
      <c r="H85" s="41">
        <f>SUM(H84:H84)</f>
        <v>0</v>
      </c>
    </row>
    <row r="86" spans="1:8" ht="20.100000000000001" customHeight="1">
      <c r="A86" s="529" t="str">
        <f>'ريزمتره ابینه'!A1333:I1333</f>
        <v>فصل شانزدهم- کارهای فولادی سبک</v>
      </c>
      <c r="B86" s="530"/>
      <c r="C86" s="530"/>
      <c r="D86" s="530"/>
      <c r="E86" s="532"/>
      <c r="F86" s="532"/>
      <c r="G86" s="532"/>
      <c r="H86" s="533"/>
    </row>
    <row r="87" spans="1:8" ht="48" customHeight="1">
      <c r="A87" s="175">
        <f>'خلاصه متره '!A119</f>
        <v>160104</v>
      </c>
      <c r="B87" s="65" t="str">
        <f>IF(A87="","",VLOOKUP(A87,'ابنیه 95'!$A:$E,2,FALSE))</f>
        <v>تهيه، ساخت و نصب چهارچوب، در و پنجره آهني از پروفيل‌هاي تو خالي، با جاسازي و دستمزد نصب يراق آلات همراه با جوشكاري وساييدن لازم.</v>
      </c>
      <c r="C87" s="75" t="str">
        <f>IF(A87="","",VLOOKUP(A87,'ابنیه 95'!$A:$E,3,FALSE))</f>
        <v>کيلوگرم</v>
      </c>
      <c r="D87" s="68">
        <f>IF(A87="","",VLOOKUP(A87,'ابنیه 95'!$A:$E,4,FALSE))</f>
        <v>42300</v>
      </c>
      <c r="E87" s="69">
        <f>'خلاصه متره '!F119</f>
        <v>1050</v>
      </c>
      <c r="F87" s="67">
        <v>0</v>
      </c>
      <c r="G87" s="70">
        <f>ROUND(E87*D87,0)</f>
        <v>44415000</v>
      </c>
      <c r="H87" s="51">
        <f>ROUND(F87*D87,0)</f>
        <v>0</v>
      </c>
    </row>
    <row r="88" spans="1:8" ht="20.100000000000001" customHeight="1">
      <c r="A88" s="526" t="s">
        <v>3113</v>
      </c>
      <c r="B88" s="527"/>
      <c r="C88" s="527"/>
      <c r="D88" s="527"/>
      <c r="E88" s="527"/>
      <c r="F88" s="528"/>
      <c r="G88" s="40">
        <f>SUM(G87:G87)</f>
        <v>44415000</v>
      </c>
      <c r="H88" s="41">
        <f>SUM(H87:H87)</f>
        <v>0</v>
      </c>
    </row>
    <row r="89" spans="1:8" ht="20.100000000000001" customHeight="1">
      <c r="A89" s="529" t="s">
        <v>185</v>
      </c>
      <c r="B89" s="530"/>
      <c r="C89" s="530"/>
      <c r="D89" s="530"/>
      <c r="E89" s="532"/>
      <c r="F89" s="532"/>
      <c r="G89" s="532"/>
      <c r="H89" s="533"/>
    </row>
    <row r="90" spans="1:8" ht="30" customHeight="1">
      <c r="A90" s="175">
        <f>'خلاصه متره '!A121</f>
        <v>180302</v>
      </c>
      <c r="B90" s="65" t="str">
        <f>IF(A90="","",VLOOKUP(A90,'ابنیه 95'!$A:$E,2,FALSE))</f>
        <v>شمشه گيري سطوح قايم و سقف‌ها، با ملات ماسه سيمان1:4.</v>
      </c>
      <c r="C90" s="75" t="str">
        <f>IF(A90="","",VLOOKUP(A90,'ابنیه 95'!$A:$E,3,FALSE))</f>
        <v>مترمربع</v>
      </c>
      <c r="D90" s="68">
        <f>IF(A90="","",VLOOKUP(A90,'ابنیه 95'!$A:$E,4,FALSE))</f>
        <v>20200</v>
      </c>
      <c r="E90" s="69">
        <f>'خلاصه متره '!F121</f>
        <v>6722.7259999999997</v>
      </c>
      <c r="F90" s="67">
        <v>0</v>
      </c>
      <c r="G90" s="70">
        <f>ROUND(E90*D90,0)</f>
        <v>135799065</v>
      </c>
      <c r="H90" s="51">
        <f>ROUND(F90*D90,0)</f>
        <v>0</v>
      </c>
    </row>
    <row r="91" spans="1:8" ht="30" customHeight="1">
      <c r="A91" s="175">
        <f>'خلاصه متره '!A123</f>
        <v>180305</v>
      </c>
      <c r="B91" s="65" t="str">
        <f>IF(A91="","",VLOOKUP(A91,'ابنیه 95'!$A:$E,2,FALSE))</f>
        <v>اندود سيماني به ضخامت حدود 3 سانتي‌متر، روي سطوح قايم، با ملات ماسه سيمان 1:4.</v>
      </c>
      <c r="C91" s="75" t="str">
        <f>IF(A91="","",VLOOKUP(A91,'ابنیه 95'!$A:$E,3,FALSE))</f>
        <v>مترمربع</v>
      </c>
      <c r="D91" s="68">
        <f>IF(A91="","",VLOOKUP(A91,'ابنیه 95'!$A:$E,4,FALSE))</f>
        <v>98800</v>
      </c>
      <c r="E91" s="69">
        <f>'خلاصه متره '!F123</f>
        <v>6140.2089999999998</v>
      </c>
      <c r="F91" s="67">
        <v>0</v>
      </c>
      <c r="G91" s="70">
        <f>ROUND(E91*D91,0)</f>
        <v>606652649</v>
      </c>
      <c r="H91" s="51">
        <f>ROUND(F91*D91,0)</f>
        <v>0</v>
      </c>
    </row>
    <row r="92" spans="1:8" ht="30" customHeight="1">
      <c r="A92" s="175">
        <f>'خلاصه متره '!A125</f>
        <v>180308</v>
      </c>
      <c r="B92" s="65" t="str">
        <f>IF(A92="","",VLOOKUP(A92,'ابنیه 95'!$A:$E,2,FALSE))</f>
        <v>اندود سيماني با ملات ماسه سيمان 1:4 به ضخامت حدود 2 سانتي‌متر، روي سطوح افقي.</v>
      </c>
      <c r="C92" s="75" t="str">
        <f>IF(A92="","",VLOOKUP(A92,'ابنیه 95'!$A:$E,3,FALSE))</f>
        <v>مترمربع</v>
      </c>
      <c r="D92" s="68">
        <f>IF(A92="","",VLOOKUP(A92,'ابنیه 95'!$A:$E,4,FALSE))</f>
        <v>67100</v>
      </c>
      <c r="E92" s="69">
        <f>'خلاصه متره '!F125</f>
        <v>140.71</v>
      </c>
      <c r="F92" s="67">
        <v>0</v>
      </c>
      <c r="G92" s="70">
        <f>ROUND(E92*D92,0)</f>
        <v>9441641</v>
      </c>
      <c r="H92" s="51">
        <f>ROUND(F92*D92,0)</f>
        <v>0</v>
      </c>
    </row>
    <row r="93" spans="1:8" ht="30" customHeight="1">
      <c r="A93" s="175">
        <f>'خلاصه متره '!A127</f>
        <v>180317</v>
      </c>
      <c r="B93" s="65" t="str">
        <f>IF(A93="","",VLOOKUP(A93,'ابنیه 95'!$A:$E,2,FALSE))</f>
        <v>اضافه بها براي اندودهاي با ملات ماسه سيمان يا با تارد، در صورتي كه سطح روي آن ليسه‌اي و پرداخت شود.</v>
      </c>
      <c r="C93" s="75" t="str">
        <f>IF(A93="","",VLOOKUP(A93,'ابنیه 95'!$A:$E,3,FALSE))</f>
        <v>مترمربع</v>
      </c>
      <c r="D93" s="68">
        <f>IF(A93="","",VLOOKUP(A93,'ابنیه 95'!$A:$E,4,FALSE))</f>
        <v>10500</v>
      </c>
      <c r="E93" s="69">
        <f>'خلاصه متره '!F127</f>
        <v>3048.57</v>
      </c>
      <c r="F93" s="67">
        <v>0</v>
      </c>
      <c r="G93" s="70">
        <f>ROUND(E93*D93,0)</f>
        <v>32009985</v>
      </c>
      <c r="H93" s="51">
        <f>ROUND(F93*D93,0)</f>
        <v>0</v>
      </c>
    </row>
    <row r="94" spans="1:8" ht="20.100000000000001" customHeight="1">
      <c r="A94" s="526" t="s">
        <v>186</v>
      </c>
      <c r="B94" s="527"/>
      <c r="C94" s="527"/>
      <c r="D94" s="527"/>
      <c r="E94" s="527"/>
      <c r="F94" s="528"/>
      <c r="G94" s="40">
        <f>SUM(G90:G93)</f>
        <v>783903340</v>
      </c>
      <c r="H94" s="41">
        <f>SUM(H90:H90)</f>
        <v>0</v>
      </c>
    </row>
    <row r="95" spans="1:8" ht="20.100000000000001" customHeight="1">
      <c r="A95" s="529" t="str">
        <f>'ريزمتره ابینه'!A1465:I1465</f>
        <v>فصل بیست و دوم- کارهای سنگی با سنگ پلاک</v>
      </c>
      <c r="B95" s="530"/>
      <c r="C95" s="530"/>
      <c r="D95" s="530"/>
      <c r="E95" s="532"/>
      <c r="F95" s="532"/>
      <c r="G95" s="532"/>
      <c r="H95" s="533"/>
    </row>
    <row r="96" spans="1:8" ht="30" customHeight="1">
      <c r="A96" s="175">
        <f>'خلاصه متره '!A129</f>
        <v>220504</v>
      </c>
      <c r="B96" s="65" t="str">
        <f>IF(A96="","",VLOOKUP(A96,'ابنیه 95'!$A:$E,2,FALSE))</f>
        <v>تهيه و نصب سنگ گرانيت گل پنبه‌اي در سطوح افقي به ضخامت 1/5 تا 2 سانتي‌متر.</v>
      </c>
      <c r="C96" s="75" t="str">
        <f>IF(A96="","",VLOOKUP(A96,'ابنیه 95'!$A:$E,3,FALSE))</f>
        <v>مترمربع</v>
      </c>
      <c r="D96" s="68">
        <f>IF(A96="","",VLOOKUP(A96,'ابنیه 95'!$A:$E,4,FALSE))</f>
        <v>556000</v>
      </c>
      <c r="E96" s="69">
        <f>'خلاصه متره '!F129</f>
        <v>660.52</v>
      </c>
      <c r="F96" s="67">
        <v>0</v>
      </c>
      <c r="G96" s="70">
        <f>ROUND(E96*D96,0)</f>
        <v>367249120</v>
      </c>
      <c r="H96" s="51">
        <f>ROUND(F96*D96,0)</f>
        <v>0</v>
      </c>
    </row>
    <row r="97" spans="1:8" ht="30" customHeight="1">
      <c r="A97" s="175">
        <f>'خلاصه متره '!A131</f>
        <v>220603</v>
      </c>
      <c r="B97" s="65" t="str">
        <f>IF(A97="","",VLOOKUP(A97,'ابنیه 95'!$A:$E,2,FALSE))</f>
        <v>اضافه بهابه رديف‌هاي تهيه و نصب سنگ پلاك ، براي تهيه و اجراي كامل اسكوپ در سنگ‌هاي گرانيت براي سطوح قايم.</v>
      </c>
      <c r="C97" s="75" t="str">
        <f>IF(A97="","",VLOOKUP(A97,'ابنیه 95'!$A:$E,3,FALSE))</f>
        <v>مترمربع</v>
      </c>
      <c r="D97" s="68">
        <f>IF(A97="","",VLOOKUP(A97,'ابنیه 95'!$A:$E,4,FALSE))</f>
        <v>61500</v>
      </c>
      <c r="E97" s="69">
        <f>'خلاصه متره '!F131</f>
        <v>660.52</v>
      </c>
      <c r="F97" s="67">
        <v>0</v>
      </c>
      <c r="G97" s="70">
        <f>ROUND(E97*D97,0)</f>
        <v>40621980</v>
      </c>
      <c r="H97" s="51">
        <f>ROUND(F97*D97,0)</f>
        <v>0</v>
      </c>
    </row>
    <row r="98" spans="1:8" ht="30" customHeight="1">
      <c r="A98" s="175" t="s">
        <v>3068</v>
      </c>
      <c r="B98" s="65" t="str">
        <f>'ريزمتره ابینه'!B1502:I1502</f>
        <v>اجرای سنگ فیتیله ای (تخم مرغی)گرانیت گل پنبه ای با ابزار مربوطه بر روی سنگهای پلاک گرانیتی</v>
      </c>
      <c r="C98" s="75" t="s">
        <v>143</v>
      </c>
      <c r="D98" s="68">
        <v>80000</v>
      </c>
      <c r="E98" s="69">
        <f>'خلاصه متره '!F133</f>
        <v>471.8</v>
      </c>
      <c r="F98" s="67">
        <v>0</v>
      </c>
      <c r="G98" s="70">
        <f>ROUND(E98*D98,0)</f>
        <v>37744000</v>
      </c>
      <c r="H98" s="51">
        <f>ROUND(F98*D98,0)</f>
        <v>0</v>
      </c>
    </row>
    <row r="99" spans="1:8" ht="20.100000000000001" customHeight="1">
      <c r="A99" s="526" t="s">
        <v>3096</v>
      </c>
      <c r="B99" s="527"/>
      <c r="C99" s="527"/>
      <c r="D99" s="527"/>
      <c r="E99" s="527"/>
      <c r="F99" s="528"/>
      <c r="G99" s="40">
        <f>SUM(G96:G98)</f>
        <v>445615100</v>
      </c>
      <c r="H99" s="41">
        <f>SUM(H96:H96)</f>
        <v>0</v>
      </c>
    </row>
    <row r="100" spans="1:8" ht="20.100000000000001" customHeight="1">
      <c r="A100" s="529" t="s">
        <v>101</v>
      </c>
      <c r="B100" s="530"/>
      <c r="C100" s="530"/>
      <c r="D100" s="530"/>
      <c r="E100" s="530"/>
      <c r="F100" s="530"/>
      <c r="G100" s="530"/>
      <c r="H100" s="531"/>
    </row>
    <row r="101" spans="1:8" ht="39.9" customHeight="1">
      <c r="A101" s="248">
        <f>'خلاصه متره '!A135</f>
        <v>230601</v>
      </c>
      <c r="B101" s="65" t="str">
        <f>IF(A101="","",VLOOKUP(A101,'ابنیه 95'!$A:$E,2,FALSE))</f>
        <v>تهيه ونصب پلاستوفوم (يونوليت) با هر چگالي، سفيد يا الوان به ضخامت يك سانتي‌متر، باتمام وسايل نصب بدون زيرسازي.</v>
      </c>
      <c r="C101" s="75" t="str">
        <f>IF(A101="","",VLOOKUP(A101,'ابنیه 95'!$A:$E,3,FALSE))</f>
        <v>مترمربع</v>
      </c>
      <c r="D101" s="68">
        <f>IF(A101="","",VLOOKUP(A101,'ابنیه 95'!$A:$E,4,FALSE))</f>
        <v>41300</v>
      </c>
      <c r="E101" s="69">
        <f>'خلاصه متره '!F135</f>
        <v>121.44</v>
      </c>
      <c r="F101" s="67">
        <v>0</v>
      </c>
      <c r="G101" s="70">
        <f>ROUND(E101*D101,0)</f>
        <v>5015472</v>
      </c>
      <c r="H101" s="51">
        <f>ROUND(F101*D101,0)</f>
        <v>0</v>
      </c>
    </row>
    <row r="102" spans="1:8" ht="39.9" customHeight="1">
      <c r="A102" s="248">
        <f>'خلاصه متره '!A137</f>
        <v>230602</v>
      </c>
      <c r="B102" s="65" t="str">
        <f>IF(A102="","",VLOOKUP(A102,'ابنیه 95'!$A:$E,2,FALSE))</f>
        <v>اضافه بها به رديف 230601 به ازاي هر سانتي‌متر كه به ضخامت يك سانتي‌متر اضافه شود، كسر سانتي‌متر به تناسب محاسبه مي شود.</v>
      </c>
      <c r="C102" s="75" t="str">
        <f>IF(A102="","",VLOOKUP(A102,'ابنیه 95'!$A:$E,3,FALSE))</f>
        <v>مترمربع</v>
      </c>
      <c r="D102" s="68">
        <f>IF(A102="","",VLOOKUP(A102,'ابنیه 95'!$A:$E,4,FALSE))</f>
        <v>10600</v>
      </c>
      <c r="E102" s="69">
        <f>'خلاصه متره '!F137</f>
        <v>1092.96</v>
      </c>
      <c r="F102" s="67">
        <v>0</v>
      </c>
      <c r="G102" s="70">
        <f>ROUND(E102*D102,0)</f>
        <v>11585376</v>
      </c>
      <c r="H102" s="51">
        <f>ROUND(F102*D102,0)</f>
        <v>0</v>
      </c>
    </row>
    <row r="103" spans="1:8" ht="20.100000000000001" customHeight="1">
      <c r="A103" s="526" t="s">
        <v>103</v>
      </c>
      <c r="B103" s="527"/>
      <c r="C103" s="527"/>
      <c r="D103" s="527"/>
      <c r="E103" s="527"/>
      <c r="F103" s="528"/>
      <c r="G103" s="46">
        <f>SUM(G101:G102)</f>
        <v>16600848</v>
      </c>
      <c r="H103" s="47">
        <f>SUM(H101:H102)</f>
        <v>0</v>
      </c>
    </row>
    <row r="104" spans="1:8" ht="15.75" customHeight="1">
      <c r="A104" s="536" t="s">
        <v>117</v>
      </c>
      <c r="B104" s="532"/>
      <c r="C104" s="532"/>
      <c r="D104" s="532"/>
      <c r="E104" s="532"/>
      <c r="F104" s="532"/>
      <c r="G104" s="532"/>
      <c r="H104" s="533"/>
    </row>
    <row r="105" spans="1:8" ht="27" customHeight="1">
      <c r="A105" s="248">
        <f>'خلاصه متره '!A139</f>
        <v>280101</v>
      </c>
      <c r="B105" s="65" t="str">
        <f>IF(A105="","",VLOOKUP(A105,'ابنیه 95'!$A:$E,2,FALSE))</f>
        <v>حمل آهن آلات و سيمان پاكتي، نسبت به مازاد بر30 كيلومتر تا فاصله 75 كيلومتر.</v>
      </c>
      <c r="C105" s="75" t="str">
        <f>IF(A105="","",VLOOKUP(A105,'ابنیه 95'!$A:$E,3,FALSE))</f>
        <v>تن -  کيلومتر</v>
      </c>
      <c r="D105" s="68">
        <f>IF(A105="","",VLOOKUP(A105,'ابنیه 95'!$A:$E,4,FALSE))</f>
        <v>1040</v>
      </c>
      <c r="E105" s="69">
        <f>'خلاصه متره '!F139</f>
        <v>85251.917728709988</v>
      </c>
      <c r="F105" s="67">
        <v>0</v>
      </c>
      <c r="G105" s="70">
        <f>ROUND(E105*D105,0)</f>
        <v>88661994</v>
      </c>
      <c r="H105" s="51">
        <f>ROUND(F105*D105,0)</f>
        <v>0</v>
      </c>
    </row>
    <row r="106" spans="1:8" ht="27" customHeight="1">
      <c r="A106" s="248">
        <f>'خلاصه متره '!A141</f>
        <v>280102</v>
      </c>
      <c r="B106" s="65" t="str">
        <f>IF(A106="","",VLOOKUP(A106,'ابنیه 95'!$A:$E,2,FALSE))</f>
        <v>حمل آهن آلات و سيمان پاكتي، نسبت به مازاد بر 75 كيلومتر تا فاصله 150 كيلومتر.</v>
      </c>
      <c r="C106" s="75" t="str">
        <f>IF(A106="","",VLOOKUP(A106,'ابنیه 95'!$A:$E,3,FALSE))</f>
        <v>تن -  کيلومتر</v>
      </c>
      <c r="D106" s="68">
        <f>IF(A106="","",VLOOKUP(A106,'ابنیه 95'!$A:$E,4,FALSE))</f>
        <v>700</v>
      </c>
      <c r="E106" s="69">
        <f>'خلاصه متره '!F141</f>
        <v>142086.52954784999</v>
      </c>
      <c r="F106" s="67">
        <v>0</v>
      </c>
      <c r="G106" s="70">
        <f>ROUND(E106*D106,0)</f>
        <v>99460571</v>
      </c>
      <c r="H106" s="51">
        <f>ROUND(F106*D106,0)</f>
        <v>0</v>
      </c>
    </row>
    <row r="107" spans="1:8" ht="27" customHeight="1">
      <c r="A107" s="248">
        <f>'خلاصه متره '!A143</f>
        <v>280103</v>
      </c>
      <c r="B107" s="65" t="str">
        <f>IF(A107="","",VLOOKUP(A107,'ابنیه 95'!$A:$E,2,FALSE))</f>
        <v>حمل آهن آلات و سيمان پاكتي، نسبت به مازاد بر150 كيلومتر تا فاصله 300 كيلومتر.</v>
      </c>
      <c r="C107" s="75" t="str">
        <f>IF(A107="","",VLOOKUP(A107,'ابنیه 95'!$A:$E,3,FALSE))</f>
        <v>تن -  کيلومتر</v>
      </c>
      <c r="D107" s="68">
        <f>IF(A107="","",VLOOKUP(A107,'ابنیه 95'!$A:$E,4,FALSE))</f>
        <v>440</v>
      </c>
      <c r="E107" s="69">
        <f>'خلاصه متره '!F143</f>
        <v>57968.784720000011</v>
      </c>
      <c r="F107" s="67">
        <v>0</v>
      </c>
      <c r="G107" s="70">
        <f>ROUND(E107*D107,0)</f>
        <v>25506265</v>
      </c>
      <c r="H107" s="51">
        <f>ROUND(F107*D107,0)</f>
        <v>0</v>
      </c>
    </row>
    <row r="108" spans="1:8" ht="20.100000000000001" customHeight="1">
      <c r="A108" s="526" t="s">
        <v>118</v>
      </c>
      <c r="B108" s="527"/>
      <c r="C108" s="527"/>
      <c r="D108" s="527"/>
      <c r="E108" s="527"/>
      <c r="F108" s="528"/>
      <c r="G108" s="46">
        <f>SUM(G105:G107)</f>
        <v>213628830</v>
      </c>
      <c r="H108" s="47">
        <f>SUM(H105:H107)</f>
        <v>0</v>
      </c>
    </row>
    <row r="109" spans="1:8" ht="20.100000000000001" customHeight="1">
      <c r="A109" s="536" t="str">
        <f>'ريزمتره ابینه'!A1634:I1634</f>
        <v>فصل بیست و نهم:کارهای دستمزدی</v>
      </c>
      <c r="B109" s="532"/>
      <c r="C109" s="532"/>
      <c r="D109" s="532"/>
      <c r="E109" s="532"/>
      <c r="F109" s="532"/>
      <c r="G109" s="532"/>
      <c r="H109" s="533"/>
    </row>
    <row r="110" spans="1:8" ht="30" customHeight="1">
      <c r="A110" s="248" t="str">
        <f>'خلاصه متره '!A145</f>
        <v>290402*</v>
      </c>
      <c r="B110" s="65" t="str">
        <f>'ريزمتره ابینه'!B1635</f>
        <v xml:space="preserve">هزینه آزمایش آب موجود در محل فونداسیون بلوکZ طبق دستور کار شماره 2 و فاکتور پیوست </v>
      </c>
      <c r="C110" s="75" t="s">
        <v>161</v>
      </c>
      <c r="D110" s="74">
        <v>1710000</v>
      </c>
      <c r="E110" s="69">
        <f>'خلاصه متره '!F145</f>
        <v>1</v>
      </c>
      <c r="F110" s="67">
        <v>0</v>
      </c>
      <c r="G110" s="70">
        <f>ROUND(E110*D110,0)</f>
        <v>1710000</v>
      </c>
      <c r="H110" s="51">
        <f>ROUND(F110*D110,0)</f>
        <v>0</v>
      </c>
    </row>
    <row r="111" spans="1:8" ht="30" customHeight="1">
      <c r="A111" s="248" t="str">
        <f>'خلاصه متره '!A147</f>
        <v>290403*</v>
      </c>
      <c r="B111" s="65" t="str">
        <f>'ريزمتره ابینه'!B1638</f>
        <v xml:space="preserve">هزینه 24عدد جوش کدول برای فونداسیون ها طبق فاکتور پیوست </v>
      </c>
      <c r="C111" s="75" t="s">
        <v>161</v>
      </c>
      <c r="D111" s="74">
        <v>300000</v>
      </c>
      <c r="E111" s="69">
        <f>'خلاصه متره '!F147</f>
        <v>24</v>
      </c>
      <c r="F111" s="67">
        <v>0</v>
      </c>
      <c r="G111" s="70">
        <f>ROUND(E111*D111,0)</f>
        <v>7200000</v>
      </c>
      <c r="H111" s="51">
        <f>ROUND(F111*D111,0)</f>
        <v>0</v>
      </c>
    </row>
    <row r="112" spans="1:8" ht="20.100000000000001" customHeight="1">
      <c r="A112" s="526" t="s">
        <v>1786</v>
      </c>
      <c r="B112" s="527"/>
      <c r="C112" s="527"/>
      <c r="D112" s="527"/>
      <c r="E112" s="527"/>
      <c r="F112" s="528"/>
      <c r="G112" s="46">
        <f>SUM(G110:G111)</f>
        <v>8910000</v>
      </c>
      <c r="H112" s="47">
        <f>SUM(H110:H111)</f>
        <v>0</v>
      </c>
    </row>
    <row r="113" spans="1:8" ht="20.100000000000001" customHeight="1">
      <c r="A113" s="536" t="s">
        <v>157</v>
      </c>
      <c r="B113" s="532"/>
      <c r="C113" s="532"/>
      <c r="D113" s="532"/>
      <c r="E113" s="532"/>
      <c r="F113" s="532"/>
      <c r="G113" s="532"/>
      <c r="H113" s="533"/>
    </row>
    <row r="114" spans="1:8" ht="20.100000000000001" customHeight="1">
      <c r="A114" s="248">
        <f>'خلاصه متره '!A149</f>
        <v>410202</v>
      </c>
      <c r="B114" s="65" t="str">
        <f>IF(A114="","",VLOOKUP(A114,'ابنیه 95'!$A:$E,2,FALSE))</f>
        <v>ماسه شسته.</v>
      </c>
      <c r="C114" s="75" t="str">
        <f>IF(A114="","",VLOOKUP(A114,'ابنیه 95'!$A:$E,3,FALSE))</f>
        <v>مترمکعب</v>
      </c>
      <c r="D114" s="68">
        <f>IF(A114="","",VLOOKUP(A114,'ابنیه 95'!$A:$E,4,FALSE))</f>
        <v>264500</v>
      </c>
      <c r="E114" s="69">
        <f>'خلاصه متره '!F149</f>
        <v>150</v>
      </c>
      <c r="F114" s="67">
        <v>0</v>
      </c>
      <c r="G114" s="70">
        <f t="shared" ref="G114:G124" si="22">ROUND(E114*D114,0)</f>
        <v>39675000</v>
      </c>
      <c r="H114" s="51">
        <f t="shared" ref="H114:H124" si="23">ROUND(F114*D114,0)</f>
        <v>0</v>
      </c>
    </row>
    <row r="115" spans="1:8" ht="20.100000000000001" customHeight="1">
      <c r="A115" s="248">
        <f>'خلاصه متره '!A151</f>
        <v>410203</v>
      </c>
      <c r="B115" s="65" t="str">
        <f>IF(A115="","",VLOOKUP(A115,'ابنیه 95'!$A:$E,2,FALSE))</f>
        <v>شن شسته.</v>
      </c>
      <c r="C115" s="75" t="str">
        <f>IF(A115="","",VLOOKUP(A115,'ابنیه 95'!$A:$E,3,FALSE))</f>
        <v>مترمکعب</v>
      </c>
      <c r="D115" s="68">
        <f>IF(A115="","",VLOOKUP(A115,'ابنیه 95'!$A:$E,4,FALSE))</f>
        <v>177500</v>
      </c>
      <c r="E115" s="69">
        <f>'خلاصه متره '!F151</f>
        <v>150</v>
      </c>
      <c r="F115" s="67">
        <v>0</v>
      </c>
      <c r="G115" s="70">
        <f t="shared" si="22"/>
        <v>26625000</v>
      </c>
      <c r="H115" s="51">
        <f t="shared" si="23"/>
        <v>0</v>
      </c>
    </row>
    <row r="116" spans="1:8" ht="20.100000000000001" customHeight="1">
      <c r="A116" s="248">
        <f>'خلاصه متره '!A153</f>
        <v>410404</v>
      </c>
      <c r="B116" s="65" t="str">
        <f>IF(A116="","",VLOOKUP(A116,'ابنیه 95'!$A:$E,2,FALSE))</f>
        <v>انواع سنگ پلاك سياه به‌ضخامت 2 سانتي‌متر.</v>
      </c>
      <c r="C116" s="75" t="str">
        <f>IF(A116="","",VLOOKUP(A116,'ابنیه 95'!$A:$E,3,FALSE))</f>
        <v>مترمربع</v>
      </c>
      <c r="D116" s="68">
        <f>IF(A116="","",VLOOKUP(A116,'ابنیه 95'!$A:$E,4,FALSE))</f>
        <v>509500</v>
      </c>
      <c r="E116" s="69">
        <f>'خلاصه متره '!F153</f>
        <v>2000</v>
      </c>
      <c r="F116" s="67">
        <v>0</v>
      </c>
      <c r="G116" s="70">
        <f t="shared" ref="G116" si="24">ROUND(E116*D116,0)</f>
        <v>1019000000</v>
      </c>
      <c r="H116" s="51">
        <f t="shared" ref="H116" si="25">ROUND(F116*D116,0)</f>
        <v>0</v>
      </c>
    </row>
    <row r="117" spans="1:8" ht="20.100000000000001" customHeight="1">
      <c r="A117" s="248">
        <f>'خلاصه متره '!A155</f>
        <v>410501</v>
      </c>
      <c r="B117" s="65" t="str">
        <f>IF(A117="","",VLOOKUP(A117,'ابنیه 95'!$A:$E,2,FALSE))</f>
        <v>سيمان پرتلند پاكتي.</v>
      </c>
      <c r="C117" s="75" t="str">
        <f>IF(A117="","",VLOOKUP(A117,'ابنیه 95'!$A:$E,3,FALSE))</f>
        <v>تن</v>
      </c>
      <c r="D117" s="68">
        <f>IF(A117="","",VLOOKUP(A117,'ابنیه 95'!$A:$E,4,FALSE))</f>
        <v>1085000</v>
      </c>
      <c r="E117" s="69">
        <f>'خلاصه متره '!F155</f>
        <v>150</v>
      </c>
      <c r="F117" s="67">
        <v>0</v>
      </c>
      <c r="G117" s="70">
        <f t="shared" si="22"/>
        <v>162750000</v>
      </c>
      <c r="H117" s="51">
        <f t="shared" si="23"/>
        <v>0</v>
      </c>
    </row>
    <row r="118" spans="1:8" ht="20.100000000000001" customHeight="1">
      <c r="A118" s="248">
        <f>'خلاصه متره '!A157</f>
        <v>410701</v>
      </c>
      <c r="B118" s="65" t="str">
        <f>IF(A118="","",VLOOKUP(A118,'ابنیه 95'!$A:$E,2,FALSE))</f>
        <v>آجر فشاري.</v>
      </c>
      <c r="C118" s="75" t="str">
        <f>IF(A118="","",VLOOKUP(A118,'ابنیه 95'!$A:$E,3,FALSE))</f>
        <v>قالب</v>
      </c>
      <c r="D118" s="68">
        <f>IF(A118="","",VLOOKUP(A118,'ابنیه 95'!$A:$E,4,FALSE))</f>
        <v>1200</v>
      </c>
      <c r="E118" s="69">
        <f>'خلاصه متره '!F157</f>
        <v>2000</v>
      </c>
      <c r="F118" s="67">
        <v>0</v>
      </c>
      <c r="G118" s="70">
        <f t="shared" si="22"/>
        <v>2400000</v>
      </c>
      <c r="H118" s="51">
        <f t="shared" si="23"/>
        <v>0</v>
      </c>
    </row>
    <row r="119" spans="1:8" ht="20.100000000000001" customHeight="1">
      <c r="A119" s="248">
        <f>'خلاصه متره '!A159</f>
        <v>410801</v>
      </c>
      <c r="B119" s="65" t="str">
        <f>IF(A119="","",VLOOKUP(A119,'ابنیه 95'!$A:$E,2,FALSE))</f>
        <v>انواع بلوك سفال (آجر تيغه).</v>
      </c>
      <c r="C119" s="75" t="str">
        <f>IF(A119="","",VLOOKUP(A119,'ابنیه 95'!$A:$E,3,FALSE))</f>
        <v>قالب</v>
      </c>
      <c r="D119" s="68">
        <f>IF(A119="","",VLOOKUP(A119,'ابنیه 95'!$A:$E,4,FALSE))</f>
        <v>2530</v>
      </c>
      <c r="E119" s="69">
        <f>'خلاصه متره '!F159</f>
        <v>10000</v>
      </c>
      <c r="F119" s="67">
        <v>0</v>
      </c>
      <c r="G119" s="70">
        <f t="shared" ref="G119" si="26">ROUND(E119*D119,0)</f>
        <v>25300000</v>
      </c>
      <c r="H119" s="51">
        <f t="shared" ref="H119" si="27">ROUND(F119*D119,0)</f>
        <v>0</v>
      </c>
    </row>
    <row r="120" spans="1:8" ht="20.100000000000001" customHeight="1">
      <c r="A120" s="248">
        <f>'خلاصه متره '!A161</f>
        <v>410804</v>
      </c>
      <c r="B120" s="65" t="str">
        <f>IF(A120="","",VLOOKUP(A120,'ابنیه 95'!$A:$E,2,FALSE))</f>
        <v>انواع بلوك سيماني سقفي.</v>
      </c>
      <c r="C120" s="75" t="str">
        <f>IF(A120="","",VLOOKUP(A120,'ابنیه 95'!$A:$E,3,FALSE))</f>
        <v>قالب</v>
      </c>
      <c r="D120" s="68">
        <f>IF(A120="","",VLOOKUP(A120,'ابنیه 95'!$A:$E,4,FALSE))</f>
        <v>8370</v>
      </c>
      <c r="E120" s="69">
        <f>'خلاصه متره '!F161</f>
        <v>0</v>
      </c>
      <c r="F120" s="67">
        <v>0</v>
      </c>
      <c r="G120" s="70">
        <f t="shared" si="22"/>
        <v>0</v>
      </c>
      <c r="H120" s="51">
        <f t="shared" si="23"/>
        <v>0</v>
      </c>
    </row>
    <row r="121" spans="1:8" ht="20.100000000000001" customHeight="1">
      <c r="A121" s="248">
        <f>'خلاصه متره '!A163</f>
        <v>410904</v>
      </c>
      <c r="B121" s="65" t="str">
        <f>IF(A121="","",VLOOKUP(A121,'ابنیه 95'!$A:$E,2,FALSE))</f>
        <v>انواع نبشي.</v>
      </c>
      <c r="C121" s="75" t="str">
        <f>IF(A121="","",VLOOKUP(A121,'ابنیه 95'!$A:$E,3,FALSE))</f>
        <v>کيلوگرم</v>
      </c>
      <c r="D121" s="68">
        <f>IF(A121="","",VLOOKUP(A121,'ابنیه 95'!$A:$E,4,FALSE))</f>
        <v>12900</v>
      </c>
      <c r="E121" s="69">
        <f>'خلاصه متره '!F163</f>
        <v>5000</v>
      </c>
      <c r="F121" s="67">
        <v>0</v>
      </c>
      <c r="G121" s="70">
        <f t="shared" ref="G121" si="28">ROUND(E121*D121,0)</f>
        <v>64500000</v>
      </c>
      <c r="H121" s="51">
        <f t="shared" ref="H121" si="29">ROUND(F121*D121,0)</f>
        <v>0</v>
      </c>
    </row>
    <row r="122" spans="1:8" ht="20.100000000000001" customHeight="1">
      <c r="A122" s="248">
        <f>'خلاصه متره '!A165</f>
        <v>410906</v>
      </c>
      <c r="B122" s="65" t="str">
        <f>IF(A122="","",VLOOKUP(A122,'ابنیه 95'!$A:$E,2,FALSE))</f>
        <v>انواع قوطي.</v>
      </c>
      <c r="C122" s="75" t="str">
        <f>IF(A122="","",VLOOKUP(A122,'ابنیه 95'!$A:$E,3,FALSE))</f>
        <v>کيلوگرم</v>
      </c>
      <c r="D122" s="68">
        <f>IF(A122="","",VLOOKUP(A122,'ابنیه 95'!$A:$E,4,FALSE))</f>
        <v>13500</v>
      </c>
      <c r="E122" s="69">
        <f>'خلاصه متره '!F165</f>
        <v>3000</v>
      </c>
      <c r="F122" s="67">
        <v>0</v>
      </c>
      <c r="G122" s="70">
        <f t="shared" ref="G122" si="30">ROUND(E122*D122,0)</f>
        <v>40500000</v>
      </c>
      <c r="H122" s="51">
        <f t="shared" ref="H122" si="31">ROUND(F122*D122,0)</f>
        <v>0</v>
      </c>
    </row>
    <row r="123" spans="1:8" ht="20.100000000000001" customHeight="1">
      <c r="A123" s="248">
        <f>'خلاصه متره '!A167</f>
        <v>411002</v>
      </c>
      <c r="B123" s="65" t="str">
        <f>IF(A123="","",VLOOKUP(A123,'ابنیه 95'!$A:$E,2,FALSE))</f>
        <v>انواع ميل گردآجدار.</v>
      </c>
      <c r="C123" s="75" t="str">
        <f>IF(A123="","",VLOOKUP(A123,'ابنیه 95'!$A:$E,3,FALSE))</f>
        <v>کيلوگرم</v>
      </c>
      <c r="D123" s="68">
        <f>IF(A123="","",VLOOKUP(A123,'ابنیه 95'!$A:$E,4,FALSE))</f>
        <v>11500</v>
      </c>
      <c r="E123" s="69">
        <f>'خلاصه متره '!F167</f>
        <v>0</v>
      </c>
      <c r="F123" s="67">
        <v>0</v>
      </c>
      <c r="G123" s="70">
        <f t="shared" si="22"/>
        <v>0</v>
      </c>
      <c r="H123" s="51">
        <f t="shared" si="23"/>
        <v>0</v>
      </c>
    </row>
    <row r="124" spans="1:8" ht="20.100000000000001" customHeight="1">
      <c r="A124" s="248">
        <f>'خلاصه متره '!A169</f>
        <v>411701</v>
      </c>
      <c r="B124" s="65" t="str">
        <f>IF(A124="","",VLOOKUP(A124,'ابنیه 95'!$A:$E,2,FALSE))</f>
        <v>انواع عايق‌هاي پيش ساخته رطوبتي.</v>
      </c>
      <c r="C124" s="75" t="str">
        <f>IF(A124="","",VLOOKUP(A124,'ابنیه 95'!$A:$E,3,FALSE))</f>
        <v>مترمربع</v>
      </c>
      <c r="D124" s="68">
        <f>IF(A124="","",VLOOKUP(A124,'ابنیه 95'!$A:$E,4,FALSE))</f>
        <v>57800</v>
      </c>
      <c r="E124" s="69">
        <f>'خلاصه متره '!F169</f>
        <v>1200</v>
      </c>
      <c r="F124" s="67">
        <v>0</v>
      </c>
      <c r="G124" s="70">
        <f t="shared" si="22"/>
        <v>69360000</v>
      </c>
      <c r="H124" s="51">
        <f t="shared" si="23"/>
        <v>0</v>
      </c>
    </row>
    <row r="125" spans="1:8" ht="20.100000000000001" customHeight="1">
      <c r="A125" s="526" t="s">
        <v>173</v>
      </c>
      <c r="B125" s="527"/>
      <c r="C125" s="527"/>
      <c r="D125" s="527"/>
      <c r="E125" s="527"/>
      <c r="F125" s="528"/>
      <c r="G125" s="46">
        <f>SUM(G114:G124)</f>
        <v>1450110000</v>
      </c>
      <c r="H125" s="47">
        <f>SUM(H114:H120)</f>
        <v>0</v>
      </c>
    </row>
  </sheetData>
  <mergeCells count="50">
    <mergeCell ref="A3:B5"/>
    <mergeCell ref="C1:E2"/>
    <mergeCell ref="F1:H2"/>
    <mergeCell ref="A125:F125"/>
    <mergeCell ref="A108:F108"/>
    <mergeCell ref="A100:H100"/>
    <mergeCell ref="A103:F103"/>
    <mergeCell ref="A104:H104"/>
    <mergeCell ref="A109:H109"/>
    <mergeCell ref="A112:F112"/>
    <mergeCell ref="A113:H113"/>
    <mergeCell ref="A94:F94"/>
    <mergeCell ref="A75:H75"/>
    <mergeCell ref="A82:F82"/>
    <mergeCell ref="A83:H83"/>
    <mergeCell ref="A85:F85"/>
    <mergeCell ref="A95:H95"/>
    <mergeCell ref="A99:F99"/>
    <mergeCell ref="A86:H86"/>
    <mergeCell ref="A88:F88"/>
    <mergeCell ref="A89:H89"/>
    <mergeCell ref="F4:H4"/>
    <mergeCell ref="F5:H5"/>
    <mergeCell ref="G6:H6"/>
    <mergeCell ref="C3:E5"/>
    <mergeCell ref="A8:H8"/>
    <mergeCell ref="A30:H30"/>
    <mergeCell ref="A33:F33"/>
    <mergeCell ref="B6:B7"/>
    <mergeCell ref="C6:C7"/>
    <mergeCell ref="D6:D7"/>
    <mergeCell ref="A15:F15"/>
    <mergeCell ref="A26:H26"/>
    <mergeCell ref="A29:F29"/>
    <mergeCell ref="A25:F25"/>
    <mergeCell ref="A6:A7"/>
    <mergeCell ref="A74:F74"/>
    <mergeCell ref="A42:F42"/>
    <mergeCell ref="A16:H16"/>
    <mergeCell ref="A63:F63"/>
    <mergeCell ref="A64:H64"/>
    <mergeCell ref="A52:H52"/>
    <mergeCell ref="A51:F51"/>
    <mergeCell ref="E6:F6"/>
    <mergeCell ref="A71:H71"/>
    <mergeCell ref="A2:B2"/>
    <mergeCell ref="F3:H3"/>
    <mergeCell ref="A43:H43"/>
    <mergeCell ref="A70:F70"/>
    <mergeCell ref="A34:H34"/>
  </mergeCells>
  <printOptions horizontalCentered="1"/>
  <pageMargins left="0" right="0" top="0" bottom="0.78740157480314965" header="0" footer="0"/>
  <pageSetup paperSize="9" fitToHeight="4" orientation="portrait" r:id="rId1"/>
  <headerFooter alignWithMargins="0">
    <oddHeader>&amp;L&amp;"B Nazanin,Regular"&amp;P</oddHeader>
    <oddFooter xml:space="preserve">&amp;L&amp;"B Lotus,Regular"&amp;12نماینده کارفرما                     &amp;C&amp;"B Lotus,Regular"&amp;12                                  نظارت                                           &amp;R&amp;"B Lotus,Regular"&amp;12                  پیمانکار </oddFooter>
  </headerFooter>
  <rowBreaks count="5" manualBreakCount="5">
    <brk id="25" max="16383" man="1"/>
    <brk id="42" max="16383" man="1"/>
    <brk id="63" max="16383" man="1"/>
    <brk id="88" max="16383" man="1"/>
    <brk id="11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71"/>
  <sheetViews>
    <sheetView showZeros="0" rightToLeft="1" view="pageBreakPreview" zoomScaleNormal="125" zoomScaleSheetLayoutView="100" workbookViewId="0">
      <selection activeCell="A5" sqref="A5:F5"/>
    </sheetView>
  </sheetViews>
  <sheetFormatPr defaultColWidth="9.109375" defaultRowHeight="16.5" customHeight="1"/>
  <cols>
    <col min="1" max="1" width="18.109375" style="190" customWidth="1"/>
    <col min="2" max="2" width="18.33203125" style="191" customWidth="1"/>
    <col min="3" max="3" width="12.5546875" style="191" customWidth="1"/>
    <col min="4" max="4" width="17.5546875" style="192" customWidth="1"/>
    <col min="5" max="5" width="17.5546875" style="193" customWidth="1"/>
    <col min="6" max="6" width="17.5546875" style="194" customWidth="1"/>
    <col min="7" max="16384" width="9.109375" style="179"/>
  </cols>
  <sheetData>
    <row r="1" spans="1:6" ht="21" customHeight="1">
      <c r="A1" s="176" t="str">
        <f>اطلاعات!B15</f>
        <v>کارفرما : اداره کل نوسازی مدارس استان ....</v>
      </c>
      <c r="B1" s="177"/>
      <c r="C1" s="177"/>
      <c r="D1" s="178"/>
      <c r="E1" s="276" t="str">
        <f>اطلاعات!B5</f>
        <v>صورت وضعيت موقت شماره10</v>
      </c>
      <c r="F1" s="265"/>
    </row>
    <row r="2" spans="1:6" ht="16.5" customHeight="1">
      <c r="A2" s="180"/>
      <c r="B2" s="181"/>
      <c r="C2" s="545" t="str">
        <f>اطلاعات!B14</f>
        <v>موضوع قرارداد : ساختمان اداره کل نوسازی مدارس...</v>
      </c>
      <c r="D2" s="545"/>
      <c r="E2" s="277" t="str">
        <f>اطلاعات!B7</f>
        <v>دوره كاركرد از: 1399/06/19</v>
      </c>
      <c r="F2" s="266"/>
    </row>
    <row r="3" spans="1:6" ht="16.5" customHeight="1">
      <c r="A3" s="182" t="str">
        <f>اطلاعات!B18</f>
        <v>پیمانکار :  مهندسین پیمانکار ....</v>
      </c>
      <c r="B3" s="181"/>
      <c r="C3" s="545"/>
      <c r="D3" s="545"/>
      <c r="E3" s="184" t="str">
        <f>اطلاعات!B8</f>
        <v>لغايت : 1399/07/19</v>
      </c>
      <c r="F3" s="267"/>
    </row>
    <row r="4" spans="1:6" ht="16.5" customHeight="1">
      <c r="A4" s="183" t="str">
        <f>اطلاعات!B16</f>
        <v xml:space="preserve"> قرارداد شماره :  1232579/ر/1399</v>
      </c>
      <c r="B4" s="181"/>
      <c r="C4" s="545"/>
      <c r="D4" s="545"/>
      <c r="E4" s="184"/>
      <c r="F4" s="267" t="s">
        <v>23</v>
      </c>
    </row>
    <row r="5" spans="1:6" ht="16.5" customHeight="1">
      <c r="A5" s="548" t="s">
        <v>149</v>
      </c>
      <c r="B5" s="548"/>
      <c r="C5" s="548"/>
      <c r="D5" s="548"/>
      <c r="E5" s="548"/>
      <c r="F5" s="548"/>
    </row>
    <row r="6" spans="1:6" s="185" customFormat="1" ht="26.25" customHeight="1">
      <c r="A6" s="258" t="s">
        <v>150</v>
      </c>
      <c r="B6" s="259" t="s">
        <v>151</v>
      </c>
      <c r="C6" s="259"/>
      <c r="D6" s="260" t="s">
        <v>152</v>
      </c>
      <c r="E6" s="261" t="s">
        <v>153</v>
      </c>
      <c r="F6" s="261" t="s">
        <v>154</v>
      </c>
    </row>
    <row r="7" spans="1:6" ht="14.1" customHeight="1">
      <c r="A7" s="290" t="str">
        <f>'ريزمتره ابینه'!A9</f>
        <v>020105*</v>
      </c>
      <c r="B7" s="543"/>
      <c r="C7" s="187" t="s">
        <v>130</v>
      </c>
      <c r="D7" s="270">
        <v>20</v>
      </c>
      <c r="E7" s="278">
        <f>F7-D7</f>
        <v>180</v>
      </c>
      <c r="F7" s="283">
        <f>IF(A7="","",VLOOKUP(A7,'ريزمتره ابینه'!$F:$G,2,FALSE))</f>
        <v>200</v>
      </c>
    </row>
    <row r="8" spans="1:6" ht="14.1" customHeight="1">
      <c r="A8" s="287"/>
      <c r="B8" s="544"/>
      <c r="C8" s="186" t="s">
        <v>155</v>
      </c>
      <c r="D8" s="224"/>
      <c r="E8" s="281"/>
      <c r="F8" s="284"/>
    </row>
    <row r="9" spans="1:6" ht="14.1" customHeight="1">
      <c r="A9" s="290" t="str">
        <f>'ريزمتره ابینه'!A13</f>
        <v>020303*</v>
      </c>
      <c r="B9" s="543"/>
      <c r="C9" s="187" t="s">
        <v>130</v>
      </c>
      <c r="D9" s="270">
        <v>96.960000000000008</v>
      </c>
      <c r="E9" s="278">
        <f>F9-D9</f>
        <v>0</v>
      </c>
      <c r="F9" s="283">
        <f>'ريزمتره ابینه'!G18</f>
        <v>96.960000000000008</v>
      </c>
    </row>
    <row r="10" spans="1:6" ht="14.1" customHeight="1">
      <c r="A10" s="287"/>
      <c r="B10" s="544"/>
      <c r="C10" s="186" t="s">
        <v>155</v>
      </c>
      <c r="D10" s="224"/>
      <c r="E10" s="279"/>
      <c r="F10" s="284"/>
    </row>
    <row r="11" spans="1:6" ht="14.1" customHeight="1">
      <c r="A11" s="286" t="str">
        <f>'ريزمتره ابینه'!A19</f>
        <v>020401</v>
      </c>
      <c r="B11" s="264"/>
      <c r="C11" s="187" t="s">
        <v>130</v>
      </c>
      <c r="D11" s="270">
        <v>96.960000000000008</v>
      </c>
      <c r="E11" s="280">
        <f>F11-D11</f>
        <v>0</v>
      </c>
      <c r="F11" s="283">
        <f>IF(A11="","",VLOOKUP(A11,'ريزمتره ابینه'!$F:$G,2,FALSE))</f>
        <v>96.960000000000008</v>
      </c>
    </row>
    <row r="12" spans="1:6" ht="14.1" customHeight="1">
      <c r="A12" s="287"/>
      <c r="B12" s="268"/>
      <c r="C12" s="186" t="s">
        <v>155</v>
      </c>
      <c r="D12" s="224"/>
      <c r="E12" s="281"/>
      <c r="F12" s="284"/>
    </row>
    <row r="13" spans="1:6" ht="14.1" customHeight="1">
      <c r="A13" s="288" t="str">
        <f>'ريزمتره ابینه'!A23</f>
        <v>020402</v>
      </c>
      <c r="B13" s="549"/>
      <c r="C13" s="187" t="s">
        <v>130</v>
      </c>
      <c r="D13" s="270">
        <v>96.960000000000008</v>
      </c>
      <c r="E13" s="278">
        <f>F13-D13</f>
        <v>0</v>
      </c>
      <c r="F13" s="283">
        <f>IF(A13="","",VLOOKUP(A13,'ريزمتره ابینه'!$F:$G,2,FALSE))</f>
        <v>96.960000000000008</v>
      </c>
    </row>
    <row r="14" spans="1:6" ht="14.1" customHeight="1">
      <c r="A14" s="287"/>
      <c r="B14" s="547"/>
      <c r="C14" s="186" t="s">
        <v>155</v>
      </c>
      <c r="D14" s="224"/>
      <c r="E14" s="281"/>
      <c r="F14" s="284"/>
    </row>
    <row r="15" spans="1:6" ht="14.1" customHeight="1">
      <c r="A15" s="288" t="str">
        <f>'ريزمتره ابینه'!A27</f>
        <v>020501</v>
      </c>
      <c r="B15" s="549"/>
      <c r="C15" s="187" t="s">
        <v>130</v>
      </c>
      <c r="D15" s="270">
        <v>2084.17</v>
      </c>
      <c r="E15" s="278">
        <f>F15-D15</f>
        <v>0</v>
      </c>
      <c r="F15" s="283">
        <f>IF(A15="","",VLOOKUP(A15,'ريزمتره ابینه'!$F:$G,2,FALSE))</f>
        <v>2084.17</v>
      </c>
    </row>
    <row r="16" spans="1:6" ht="14.1" customHeight="1">
      <c r="A16" s="287"/>
      <c r="B16" s="547"/>
      <c r="C16" s="186" t="s">
        <v>155</v>
      </c>
      <c r="D16" s="224"/>
      <c r="E16" s="281"/>
      <c r="F16" s="284"/>
    </row>
    <row r="17" spans="1:6" ht="14.1" customHeight="1">
      <c r="A17" s="288" t="str">
        <f>'ريزمتره ابینه'!A31</f>
        <v>020504</v>
      </c>
      <c r="B17" s="549"/>
      <c r="C17" s="187" t="s">
        <v>130</v>
      </c>
      <c r="D17" s="270">
        <v>2392.75</v>
      </c>
      <c r="E17" s="278">
        <f>F17-D17</f>
        <v>0</v>
      </c>
      <c r="F17" s="283">
        <f>IF(A17="","",VLOOKUP(A17,'ريزمتره ابینه'!$F:$G,2,FALSE))</f>
        <v>2392.75</v>
      </c>
    </row>
    <row r="18" spans="1:6" ht="14.1" customHeight="1">
      <c r="A18" s="287"/>
      <c r="B18" s="547"/>
      <c r="C18" s="186" t="s">
        <v>155</v>
      </c>
      <c r="D18" s="224"/>
      <c r="E18" s="281"/>
      <c r="F18" s="284"/>
    </row>
    <row r="19" spans="1:6" ht="14.1" customHeight="1">
      <c r="A19" s="286" t="str">
        <f>'ريزمتره ابینه'!A50</f>
        <v>030502</v>
      </c>
      <c r="B19" s="546"/>
      <c r="C19" s="187" t="s">
        <v>130</v>
      </c>
      <c r="D19" s="270">
        <v>3496.5479999999993</v>
      </c>
      <c r="E19" s="278">
        <f>F19-D19</f>
        <v>0</v>
      </c>
      <c r="F19" s="283">
        <f>IF(A19="","",VLOOKUP(A19,'ريزمتره ابینه'!$F:$G,2,FALSE))</f>
        <v>3496.5479999999993</v>
      </c>
    </row>
    <row r="20" spans="1:6" ht="14.1" customHeight="1">
      <c r="A20" s="287"/>
      <c r="B20" s="547"/>
      <c r="C20" s="186" t="s">
        <v>155</v>
      </c>
      <c r="D20" s="224"/>
      <c r="E20" s="279"/>
      <c r="F20" s="284"/>
    </row>
    <row r="21" spans="1:6" ht="14.1" customHeight="1">
      <c r="A21" s="286" t="str">
        <f>'ريزمتره ابینه'!A70</f>
        <v>030504</v>
      </c>
      <c r="B21" s="543"/>
      <c r="C21" s="187" t="s">
        <v>130</v>
      </c>
      <c r="D21" s="271">
        <v>8216.9369999999999</v>
      </c>
      <c r="E21" s="282">
        <f>F21-D21</f>
        <v>0</v>
      </c>
      <c r="F21" s="283">
        <f>IF(A21="","",VLOOKUP(A21,'ريزمتره ابینه'!$F:$G,2,FALSE))</f>
        <v>8216.9369999999999</v>
      </c>
    </row>
    <row r="22" spans="1:6" ht="14.1" customHeight="1">
      <c r="A22" s="287"/>
      <c r="B22" s="546"/>
      <c r="C22" s="186" t="s">
        <v>155</v>
      </c>
      <c r="D22" s="224"/>
      <c r="E22" s="279"/>
      <c r="F22" s="284"/>
    </row>
    <row r="23" spans="1:6" ht="14.1" customHeight="1">
      <c r="A23" s="286" t="str">
        <f>'ريزمتره ابینه'!A88</f>
        <v>030602</v>
      </c>
      <c r="B23" s="543"/>
      <c r="C23" s="187" t="s">
        <v>130</v>
      </c>
      <c r="D23" s="271">
        <v>8216.9369999999999</v>
      </c>
      <c r="E23" s="282">
        <f>F23-D23</f>
        <v>0</v>
      </c>
      <c r="F23" s="283">
        <f>IF(A23="","",VLOOKUP(A23,'ريزمتره ابینه'!$F:$G,2,FALSE))</f>
        <v>8216.9369999999999</v>
      </c>
    </row>
    <row r="24" spans="1:6" ht="14.1" customHeight="1">
      <c r="A24" s="287"/>
      <c r="B24" s="546"/>
      <c r="C24" s="186" t="s">
        <v>155</v>
      </c>
      <c r="D24" s="224"/>
      <c r="E24" s="279"/>
      <c r="F24" s="284"/>
    </row>
    <row r="25" spans="1:6" ht="14.1" customHeight="1">
      <c r="A25" s="286" t="str">
        <f>'ريزمتره ابینه'!A92</f>
        <v>030701</v>
      </c>
      <c r="B25" s="543"/>
      <c r="C25" s="187" t="s">
        <v>130</v>
      </c>
      <c r="D25" s="271">
        <v>11713.484999999999</v>
      </c>
      <c r="E25" s="282">
        <f>F25-D25</f>
        <v>0</v>
      </c>
      <c r="F25" s="283">
        <f>IF(A25="","",VLOOKUP(A25,'ريزمتره ابینه'!$F:$G,2,FALSE))</f>
        <v>11713.484999999999</v>
      </c>
    </row>
    <row r="26" spans="1:6" ht="14.1" customHeight="1">
      <c r="A26" s="287"/>
      <c r="B26" s="546"/>
      <c r="C26" s="186" t="s">
        <v>155</v>
      </c>
      <c r="D26" s="224"/>
      <c r="E26" s="279"/>
      <c r="F26" s="284"/>
    </row>
    <row r="27" spans="1:6" ht="14.1" customHeight="1">
      <c r="A27" s="286" t="str">
        <f>'ريزمتره ابینه'!A96</f>
        <v>030702</v>
      </c>
      <c r="B27" s="543"/>
      <c r="C27" s="187" t="s">
        <v>130</v>
      </c>
      <c r="D27" s="271">
        <v>46853.939999999995</v>
      </c>
      <c r="E27" s="282">
        <f>F27-D27</f>
        <v>0</v>
      </c>
      <c r="F27" s="283">
        <f>IF(A27="","",VLOOKUP(A27,'ريزمتره ابینه'!$F:$G,2,FALSE))</f>
        <v>46853.939999999995</v>
      </c>
    </row>
    <row r="28" spans="1:6" ht="14.1" customHeight="1">
      <c r="A28" s="287"/>
      <c r="B28" s="546"/>
      <c r="C28" s="186" t="s">
        <v>155</v>
      </c>
      <c r="D28" s="224"/>
      <c r="E28" s="279"/>
      <c r="F28" s="284"/>
    </row>
    <row r="29" spans="1:6" ht="14.1" customHeight="1">
      <c r="A29" s="286" t="str">
        <f>'ريزمتره ابینه'!A100</f>
        <v>030703</v>
      </c>
      <c r="B29" s="543"/>
      <c r="C29" s="188" t="s">
        <v>130</v>
      </c>
      <c r="D29" s="271">
        <v>166378.10749999998</v>
      </c>
      <c r="E29" s="282">
        <f>F29-D29</f>
        <v>0</v>
      </c>
      <c r="F29" s="283">
        <f>IF(A29="","",VLOOKUP(A29,'ريزمتره ابینه'!$F:$G,2,FALSE))</f>
        <v>166378.10749999998</v>
      </c>
    </row>
    <row r="30" spans="1:6" ht="14.1" customHeight="1">
      <c r="A30" s="287"/>
      <c r="B30" s="547"/>
      <c r="C30" s="186" t="s">
        <v>155</v>
      </c>
      <c r="D30" s="224"/>
      <c r="E30" s="281"/>
      <c r="F30" s="284"/>
    </row>
    <row r="31" spans="1:6" ht="14.1" customHeight="1">
      <c r="A31" s="286" t="str">
        <f>'ريزمتره ابینه'!A106</f>
        <v>030704</v>
      </c>
      <c r="B31" s="543"/>
      <c r="C31" s="188" t="s">
        <v>130</v>
      </c>
      <c r="D31" s="271">
        <v>58954.500499999995</v>
      </c>
      <c r="E31" s="282">
        <f>F31-D31</f>
        <v>0</v>
      </c>
      <c r="F31" s="283">
        <f>IF(A31="","",VLOOKUP(A31,'ريزمتره ابینه'!$F:$G,2,FALSE))</f>
        <v>58954.500499999995</v>
      </c>
    </row>
    <row r="32" spans="1:6" ht="14.1" customHeight="1">
      <c r="A32" s="287"/>
      <c r="B32" s="547"/>
      <c r="C32" s="186" t="s">
        <v>155</v>
      </c>
      <c r="D32" s="224"/>
      <c r="E32" s="281"/>
      <c r="F32" s="284"/>
    </row>
    <row r="33" spans="1:6" ht="14.1" customHeight="1">
      <c r="A33" s="286" t="str">
        <f>'ريزمتره ابینه'!A112</f>
        <v>031001</v>
      </c>
      <c r="B33" s="543"/>
      <c r="C33" s="188" t="s">
        <v>130</v>
      </c>
      <c r="D33" s="271">
        <v>5800</v>
      </c>
      <c r="E33" s="282">
        <f>F33-D33</f>
        <v>0</v>
      </c>
      <c r="F33" s="283">
        <f>IF(A33="","",VLOOKUP(A33,'ريزمتره ابینه'!$F:$G,2,FALSE))</f>
        <v>5800</v>
      </c>
    </row>
    <row r="34" spans="1:6" ht="14.1" customHeight="1">
      <c r="A34" s="287"/>
      <c r="B34" s="547"/>
      <c r="C34" s="186" t="s">
        <v>155</v>
      </c>
      <c r="D34" s="224"/>
      <c r="E34" s="281"/>
      <c r="F34" s="284"/>
    </row>
    <row r="35" spans="1:6" ht="14.1" customHeight="1">
      <c r="A35" s="286" t="str">
        <f>'ريزمتره ابینه'!A117</f>
        <v>040102</v>
      </c>
      <c r="B35" s="543"/>
      <c r="C35" s="188" t="s">
        <v>130</v>
      </c>
      <c r="D35" s="271">
        <v>689.42</v>
      </c>
      <c r="E35" s="282">
        <f>F35-D35</f>
        <v>0</v>
      </c>
      <c r="F35" s="283">
        <f>IF(A35="","",VLOOKUP(A35,'ريزمتره ابینه'!$F:$G,2,FALSE))</f>
        <v>689.42</v>
      </c>
    </row>
    <row r="36" spans="1:6" ht="14.1" customHeight="1">
      <c r="A36" s="287"/>
      <c r="B36" s="547"/>
      <c r="C36" s="186" t="s">
        <v>155</v>
      </c>
      <c r="D36" s="224"/>
      <c r="E36" s="281"/>
      <c r="F36" s="284"/>
    </row>
    <row r="37" spans="1:6" ht="14.1" customHeight="1">
      <c r="A37" s="286" t="str">
        <f>'ريزمتره ابینه'!A135</f>
        <v>040502</v>
      </c>
      <c r="B37" s="543"/>
      <c r="C37" s="188" t="s">
        <v>130</v>
      </c>
      <c r="D37" s="271"/>
      <c r="E37" s="282">
        <f>F37-D37</f>
        <v>50</v>
      </c>
      <c r="F37" s="283">
        <f>IF(A37="","",VLOOKUP(A37,'ريزمتره ابینه'!$F:$G,2,FALSE))</f>
        <v>50</v>
      </c>
    </row>
    <row r="38" spans="1:6" ht="14.1" customHeight="1">
      <c r="A38" s="287"/>
      <c r="B38" s="547"/>
      <c r="C38" s="186" t="s">
        <v>155</v>
      </c>
      <c r="D38" s="224"/>
      <c r="E38" s="281"/>
      <c r="F38" s="284"/>
    </row>
    <row r="39" spans="1:6" ht="14.1" customHeight="1">
      <c r="A39" s="286" t="str">
        <f>'ريزمتره ابینه'!A140</f>
        <v>050501</v>
      </c>
      <c r="B39" s="543"/>
      <c r="C39" s="188" t="s">
        <v>130</v>
      </c>
      <c r="D39" s="271">
        <v>362.97</v>
      </c>
      <c r="E39" s="282">
        <f>F39-D39</f>
        <v>0</v>
      </c>
      <c r="F39" s="283">
        <f>IF(A39="","",VLOOKUP(A39,'ريزمتره ابینه'!$F:$G,2,FALSE))</f>
        <v>362.97</v>
      </c>
    </row>
    <row r="40" spans="1:6" ht="14.1" customHeight="1">
      <c r="A40" s="287"/>
      <c r="B40" s="547"/>
      <c r="C40" s="186" t="s">
        <v>155</v>
      </c>
      <c r="D40" s="224"/>
      <c r="E40" s="281"/>
      <c r="F40" s="284"/>
    </row>
    <row r="41" spans="1:6" ht="14.1" customHeight="1">
      <c r="A41" s="286" t="str">
        <f>'ريزمتره ابینه'!A156</f>
        <v>050502</v>
      </c>
      <c r="B41" s="543"/>
      <c r="C41" s="188" t="s">
        <v>130</v>
      </c>
      <c r="D41" s="271">
        <v>81.05</v>
      </c>
      <c r="E41" s="282">
        <f>F41-D41</f>
        <v>106.99999999999999</v>
      </c>
      <c r="F41" s="283">
        <f>IF(A41="","",VLOOKUP(A41,'ريزمتره ابینه'!$F:$G,2,FALSE))</f>
        <v>188.04999999999998</v>
      </c>
    </row>
    <row r="42" spans="1:6" ht="14.1" customHeight="1">
      <c r="A42" s="287"/>
      <c r="B42" s="547"/>
      <c r="C42" s="186" t="s">
        <v>155</v>
      </c>
      <c r="D42" s="224"/>
      <c r="E42" s="281"/>
      <c r="F42" s="284"/>
    </row>
    <row r="43" spans="1:6" ht="14.1" customHeight="1">
      <c r="A43" s="286" t="str">
        <f>'ريزمتره ابینه'!A175</f>
        <v>060101</v>
      </c>
      <c r="B43" s="264"/>
      <c r="C43" s="188" t="s">
        <v>130</v>
      </c>
      <c r="D43" s="271">
        <v>1157.04</v>
      </c>
      <c r="E43" s="282">
        <f>F43-D43</f>
        <v>0</v>
      </c>
      <c r="F43" s="283">
        <f>IF(A43="","",VLOOKUP(A43,'ريزمتره ابینه'!$F:$G,2,FALSE))</f>
        <v>1157.04</v>
      </c>
    </row>
    <row r="44" spans="1:6" ht="14.1" customHeight="1">
      <c r="A44" s="287"/>
      <c r="B44" s="264"/>
      <c r="C44" s="186" t="s">
        <v>155</v>
      </c>
      <c r="D44" s="224"/>
      <c r="E44" s="281"/>
      <c r="F44" s="284"/>
    </row>
    <row r="45" spans="1:6" ht="14.1" customHeight="1">
      <c r="A45" s="286" t="str">
        <f>'ريزمتره ابینه'!A195</f>
        <v>060301</v>
      </c>
      <c r="B45" s="543"/>
      <c r="C45" s="189" t="s">
        <v>130</v>
      </c>
      <c r="D45" s="271">
        <v>2436.4499999999998</v>
      </c>
      <c r="E45" s="282">
        <f>F45-D45</f>
        <v>0</v>
      </c>
      <c r="F45" s="283">
        <f>IF(A45="","",VLOOKUP(A45,'ريزمتره ابینه'!$F:$G,2,FALSE))</f>
        <v>2436.4499999999998</v>
      </c>
    </row>
    <row r="46" spans="1:6" ht="14.1" customHeight="1">
      <c r="A46" s="287"/>
      <c r="B46" s="546"/>
      <c r="C46" s="186" t="s">
        <v>155</v>
      </c>
      <c r="D46" s="224"/>
      <c r="E46" s="279"/>
      <c r="F46" s="284"/>
    </row>
    <row r="47" spans="1:6" ht="14.1" customHeight="1">
      <c r="A47" s="286" t="str">
        <f>'ريزمتره ابینه'!A231</f>
        <v>060303</v>
      </c>
      <c r="B47" s="543"/>
      <c r="C47" s="189" t="s">
        <v>130</v>
      </c>
      <c r="D47" s="271">
        <v>900.43</v>
      </c>
      <c r="E47" s="282">
        <f>F47-D47</f>
        <v>0</v>
      </c>
      <c r="F47" s="283">
        <f>IF(A47="","",VLOOKUP(A47,'ريزمتره ابینه'!$F:$G,2,FALSE))</f>
        <v>900.43</v>
      </c>
    </row>
    <row r="48" spans="1:6" ht="14.1" customHeight="1">
      <c r="A48" s="287"/>
      <c r="B48" s="546"/>
      <c r="C48" s="186" t="s">
        <v>155</v>
      </c>
      <c r="D48" s="224"/>
      <c r="E48" s="279"/>
      <c r="F48" s="284"/>
    </row>
    <row r="49" spans="1:6" ht="14.1" customHeight="1">
      <c r="A49" s="286" t="str">
        <f>'ريزمتره ابینه'!A249</f>
        <v>060501</v>
      </c>
      <c r="B49" s="543"/>
      <c r="C49" s="187" t="s">
        <v>130</v>
      </c>
      <c r="D49" s="271">
        <v>2131.1400000000003</v>
      </c>
      <c r="E49" s="282">
        <f>F49-D49</f>
        <v>154.02999999999975</v>
      </c>
      <c r="F49" s="283">
        <f>IF(A49="","",VLOOKUP(A49,'ريزمتره ابینه'!$F:$G,2,FALSE))</f>
        <v>2285.17</v>
      </c>
    </row>
    <row r="50" spans="1:6" ht="14.1" customHeight="1">
      <c r="A50" s="287"/>
      <c r="B50" s="546"/>
      <c r="C50" s="186" t="s">
        <v>155</v>
      </c>
      <c r="D50" s="224"/>
      <c r="E50" s="279"/>
      <c r="F50" s="284"/>
    </row>
    <row r="51" spans="1:6" ht="14.1" customHeight="1">
      <c r="A51" s="286" t="str">
        <f>'ريزمتره ابینه'!A281</f>
        <v>060502</v>
      </c>
      <c r="B51" s="543"/>
      <c r="C51" s="187" t="s">
        <v>130</v>
      </c>
      <c r="D51" s="271">
        <v>672.38</v>
      </c>
      <c r="E51" s="282">
        <f>F51-D51</f>
        <v>161.59000000000003</v>
      </c>
      <c r="F51" s="283">
        <f>IF(A51="","",VLOOKUP(A51,'ريزمتره ابینه'!$F:$G,2,FALSE))</f>
        <v>833.97</v>
      </c>
    </row>
    <row r="52" spans="1:6" ht="14.1" customHeight="1">
      <c r="A52" s="287"/>
      <c r="B52" s="547"/>
      <c r="C52" s="186" t="s">
        <v>155</v>
      </c>
      <c r="D52" s="224"/>
      <c r="E52" s="279"/>
      <c r="F52" s="284"/>
    </row>
    <row r="53" spans="1:6" ht="14.1" customHeight="1">
      <c r="A53" s="286" t="str">
        <f>'ريزمتره ابینه'!A301</f>
        <v>060801</v>
      </c>
      <c r="B53" s="543"/>
      <c r="C53" s="187" t="s">
        <v>130</v>
      </c>
      <c r="D53" s="271">
        <v>927.66000000000008</v>
      </c>
      <c r="E53" s="282">
        <f>F53-D53</f>
        <v>0</v>
      </c>
      <c r="F53" s="283">
        <f>IF(A53="","",VLOOKUP(A53,'ريزمتره ابینه'!$F:$G,2,FALSE))</f>
        <v>927.66000000000008</v>
      </c>
    </row>
    <row r="54" spans="1:6" ht="14.1" customHeight="1">
      <c r="A54" s="287"/>
      <c r="B54" s="544"/>
      <c r="C54" s="186" t="s">
        <v>155</v>
      </c>
      <c r="D54" s="224"/>
      <c r="E54" s="279"/>
      <c r="F54" s="284"/>
    </row>
    <row r="55" spans="1:6" ht="14.1" customHeight="1">
      <c r="A55" s="288" t="str">
        <f>'ريزمتره ابینه'!A333</f>
        <v>060806</v>
      </c>
      <c r="B55" s="543"/>
      <c r="C55" s="188" t="s">
        <v>130</v>
      </c>
      <c r="D55" s="271">
        <v>1157.04</v>
      </c>
      <c r="E55" s="282">
        <f>F55-D55</f>
        <v>0</v>
      </c>
      <c r="F55" s="283">
        <f>IF(A55="","",VLOOKUP(A55,'ريزمتره ابینه'!$F:$G,2,FALSE))</f>
        <v>1157.04</v>
      </c>
    </row>
    <row r="56" spans="1:6" ht="14.1" customHeight="1">
      <c r="A56" s="287"/>
      <c r="B56" s="547"/>
      <c r="C56" s="186" t="s">
        <v>155</v>
      </c>
      <c r="D56" s="224"/>
      <c r="E56" s="281"/>
      <c r="F56" s="284"/>
    </row>
    <row r="57" spans="1:6" ht="14.1" customHeight="1">
      <c r="A57" s="288" t="str">
        <f>'ريزمتره ابینه'!A354</f>
        <v>070101</v>
      </c>
      <c r="B57" s="543"/>
      <c r="C57" s="188" t="s">
        <v>130</v>
      </c>
      <c r="D57" s="271">
        <v>9549.2040000000015</v>
      </c>
      <c r="E57" s="282">
        <f>F57-D57</f>
        <v>6170.1000000000022</v>
      </c>
      <c r="F57" s="283">
        <f>IF(A57="","",VLOOKUP(A57,'ريزمتره ابینه'!$F:$G,2,FALSE))</f>
        <v>15719.304000000004</v>
      </c>
    </row>
    <row r="58" spans="1:6" ht="14.1" customHeight="1">
      <c r="A58" s="287"/>
      <c r="B58" s="547"/>
      <c r="C58" s="186" t="s">
        <v>155</v>
      </c>
      <c r="D58" s="224"/>
      <c r="E58" s="281"/>
      <c r="F58" s="284"/>
    </row>
    <row r="59" spans="1:6" ht="14.1" customHeight="1">
      <c r="A59" s="288" t="str">
        <f>'ريزمتره ابینه'!A388</f>
        <v>070201</v>
      </c>
      <c r="B59" s="543"/>
      <c r="C59" s="188" t="s">
        <v>130</v>
      </c>
      <c r="D59" s="271">
        <v>22880.095000000008</v>
      </c>
      <c r="E59" s="282">
        <f>F59-D59</f>
        <v>4802.5499999999993</v>
      </c>
      <c r="F59" s="283">
        <f>IF(A59="","",VLOOKUP(A59,'ريزمتره ابینه'!$F:$G,2,FALSE))</f>
        <v>27682.645000000008</v>
      </c>
    </row>
    <row r="60" spans="1:6" ht="14.1" customHeight="1">
      <c r="A60" s="287"/>
      <c r="B60" s="547"/>
      <c r="C60" s="186" t="s">
        <v>155</v>
      </c>
      <c r="D60" s="224"/>
      <c r="E60" s="281"/>
      <c r="F60" s="284"/>
    </row>
    <row r="61" spans="1:6" ht="14.1" customHeight="1">
      <c r="A61" s="288" t="str">
        <f>'ريزمتره ابینه'!A486</f>
        <v>070204</v>
      </c>
      <c r="B61" s="543"/>
      <c r="C61" s="188" t="s">
        <v>130</v>
      </c>
      <c r="D61" s="271">
        <v>26756.516000000003</v>
      </c>
      <c r="E61" s="282">
        <f>F61-D61</f>
        <v>3156.820000000007</v>
      </c>
      <c r="F61" s="283">
        <f>IF(A61="","",VLOOKUP(A61,'ريزمتره ابینه'!$F:$G,2,FALSE))</f>
        <v>29913.33600000001</v>
      </c>
    </row>
    <row r="62" spans="1:6" ht="14.1" customHeight="1">
      <c r="A62" s="287"/>
      <c r="B62" s="547"/>
      <c r="C62" s="186" t="s">
        <v>155</v>
      </c>
      <c r="D62" s="224"/>
      <c r="E62" s="281"/>
      <c r="F62" s="284"/>
    </row>
    <row r="63" spans="1:6" ht="14.1" customHeight="1">
      <c r="A63" s="286" t="str">
        <f>'ريزمتره ابینه'!A552</f>
        <v>070205</v>
      </c>
      <c r="B63" s="543"/>
      <c r="C63" s="187" t="s">
        <v>130</v>
      </c>
      <c r="D63" s="271">
        <v>188487.07899999997</v>
      </c>
      <c r="E63" s="282">
        <f>F63-D63</f>
        <v>49713.370000000054</v>
      </c>
      <c r="F63" s="283">
        <f>IF(A63="","",VLOOKUP(A63,'ريزمتره ابینه'!$F:$G,2,FALSE))</f>
        <v>238200.44900000002</v>
      </c>
    </row>
    <row r="64" spans="1:6" ht="14.1" customHeight="1">
      <c r="A64" s="287"/>
      <c r="B64" s="547"/>
      <c r="C64" s="186" t="s">
        <v>155</v>
      </c>
      <c r="D64" s="224"/>
      <c r="E64" s="281"/>
      <c r="F64" s="284"/>
    </row>
    <row r="65" spans="1:6" ht="14.1" customHeight="1">
      <c r="A65" s="286" t="str">
        <f>'ريزمتره ابینه'!A650</f>
        <v>070206</v>
      </c>
      <c r="B65" s="550"/>
      <c r="C65" s="187" t="s">
        <v>130</v>
      </c>
      <c r="D65" s="271">
        <v>53651.533000000003</v>
      </c>
      <c r="E65" s="282">
        <f>F65-D65</f>
        <v>2888.5090000000055</v>
      </c>
      <c r="F65" s="283">
        <f>IF(A65="","",VLOOKUP(A65,'ريزمتره ابینه'!$F:$G,2,FALSE))</f>
        <v>56540.042000000009</v>
      </c>
    </row>
    <row r="66" spans="1:6" ht="14.1" customHeight="1">
      <c r="A66" s="287"/>
      <c r="B66" s="547"/>
      <c r="C66" s="186" t="s">
        <v>155</v>
      </c>
      <c r="D66" s="224"/>
      <c r="E66" s="281"/>
      <c r="F66" s="284"/>
    </row>
    <row r="67" spans="1:6" ht="14.1" customHeight="1">
      <c r="A67" s="286" t="str">
        <f>'ريزمتره ابینه'!A716</f>
        <v>070301</v>
      </c>
      <c r="B67" s="550"/>
      <c r="C67" s="187" t="s">
        <v>130</v>
      </c>
      <c r="D67" s="271">
        <v>29311.51</v>
      </c>
      <c r="E67" s="282">
        <f>F67-D67</f>
        <v>11266.55</v>
      </c>
      <c r="F67" s="283">
        <f>IF(A67="","",VLOOKUP(A67,'ريزمتره ابینه'!$F:$G,2,FALSE))</f>
        <v>40578.06</v>
      </c>
    </row>
    <row r="68" spans="1:6" ht="14.1" customHeight="1">
      <c r="A68" s="287"/>
      <c r="B68" s="547"/>
      <c r="C68" s="186" t="s">
        <v>155</v>
      </c>
      <c r="D68" s="224"/>
      <c r="E68" s="281"/>
      <c r="F68" s="284"/>
    </row>
    <row r="69" spans="1:6" ht="14.1" customHeight="1">
      <c r="A69" s="286" t="str">
        <f>'ريزمتره ابینه'!A750</f>
        <v>070501</v>
      </c>
      <c r="B69" s="543"/>
      <c r="C69" s="187" t="s">
        <v>130</v>
      </c>
      <c r="D69" s="271">
        <v>53989.880000000005</v>
      </c>
      <c r="E69" s="282">
        <f>F69-D69</f>
        <v>0</v>
      </c>
      <c r="F69" s="283">
        <f>IF(A69="","",VLOOKUP(A69,'ريزمتره ابینه'!$F:$G,2,FALSE))</f>
        <v>53989.880000000005</v>
      </c>
    </row>
    <row r="70" spans="1:6" ht="14.1" customHeight="1">
      <c r="A70" s="287"/>
      <c r="B70" s="546"/>
      <c r="C70" s="186" t="s">
        <v>155</v>
      </c>
      <c r="D70" s="224"/>
      <c r="E70" s="279"/>
      <c r="F70" s="284"/>
    </row>
    <row r="71" spans="1:6" ht="14.1" customHeight="1">
      <c r="A71" s="286" t="str">
        <f>'ريزمتره ابینه'!A769</f>
        <v>080102</v>
      </c>
      <c r="B71" s="543"/>
      <c r="C71" s="187" t="s">
        <v>130</v>
      </c>
      <c r="D71" s="271">
        <v>91.26</v>
      </c>
      <c r="E71" s="282">
        <f>F71-D71</f>
        <v>0</v>
      </c>
      <c r="F71" s="283">
        <f>IF(A71="","",VLOOKUP(A71,'ريزمتره ابینه'!$F:$G,2,FALSE))</f>
        <v>91.26</v>
      </c>
    </row>
    <row r="72" spans="1:6" ht="14.1" customHeight="1">
      <c r="A72" s="287"/>
      <c r="B72" s="546"/>
      <c r="C72" s="186" t="s">
        <v>155</v>
      </c>
      <c r="D72" s="224"/>
      <c r="E72" s="279"/>
      <c r="F72" s="284"/>
    </row>
    <row r="73" spans="1:6" ht="14.1" customHeight="1">
      <c r="A73" s="286" t="str">
        <f>'ريزمتره ابینه'!A773</f>
        <v>080103</v>
      </c>
      <c r="B73" s="543"/>
      <c r="C73" s="187" t="s">
        <v>130</v>
      </c>
      <c r="D73" s="271">
        <v>264.7</v>
      </c>
      <c r="E73" s="282">
        <f>F73-D73</f>
        <v>95.849999999999966</v>
      </c>
      <c r="F73" s="283">
        <f>IF(A73="","",VLOOKUP(A73,'ريزمتره ابینه'!$F:$G,2,FALSE))</f>
        <v>360.54999999999995</v>
      </c>
    </row>
    <row r="74" spans="1:6" ht="14.1" customHeight="1">
      <c r="A74" s="287"/>
      <c r="B74" s="546"/>
      <c r="C74" s="186" t="s">
        <v>155</v>
      </c>
      <c r="D74" s="224"/>
      <c r="E74" s="279"/>
      <c r="F74" s="284"/>
    </row>
    <row r="75" spans="1:6" ht="14.1" customHeight="1">
      <c r="A75" s="286" t="str">
        <f>'ريزمتره ابینه'!A807</f>
        <v>080106</v>
      </c>
      <c r="B75" s="543"/>
      <c r="C75" s="187" t="s">
        <v>130</v>
      </c>
      <c r="D75" s="271">
        <v>480.43999999999994</v>
      </c>
      <c r="E75" s="282">
        <f>F75-D75</f>
        <v>0</v>
      </c>
      <c r="F75" s="283">
        <f>IF(A75="","",VLOOKUP(A75,'ريزمتره ابینه'!$F:$G,2,FALSE))</f>
        <v>480.43999999999994</v>
      </c>
    </row>
    <row r="76" spans="1:6" ht="14.1" customHeight="1">
      <c r="A76" s="287"/>
      <c r="B76" s="546"/>
      <c r="C76" s="186" t="s">
        <v>155</v>
      </c>
      <c r="D76" s="224"/>
      <c r="E76" s="279"/>
      <c r="F76" s="284"/>
    </row>
    <row r="77" spans="1:6" ht="14.1" customHeight="1">
      <c r="A77" s="286" t="str">
        <f>'ريزمتره ابینه'!A825</f>
        <v>080107</v>
      </c>
      <c r="B77" s="543"/>
      <c r="C77" s="187" t="s">
        <v>130</v>
      </c>
      <c r="D77" s="271">
        <v>553.93999999999994</v>
      </c>
      <c r="E77" s="282">
        <f>F77-D77</f>
        <v>114.77999999999997</v>
      </c>
      <c r="F77" s="283">
        <f>IF(A77="","",VLOOKUP(A77,'ريزمتره ابینه'!$F:$G,2,FALSE))</f>
        <v>668.71999999999991</v>
      </c>
    </row>
    <row r="78" spans="1:6" ht="14.1" customHeight="1">
      <c r="A78" s="287"/>
      <c r="B78" s="546"/>
      <c r="C78" s="186" t="s">
        <v>155</v>
      </c>
      <c r="D78" s="224"/>
      <c r="E78" s="279"/>
      <c r="F78" s="284"/>
    </row>
    <row r="79" spans="1:6" ht="14.1" customHeight="1">
      <c r="A79" s="286" t="str">
        <f>'ريزمتره ابینه'!A907</f>
        <v>080202</v>
      </c>
      <c r="B79" s="543"/>
      <c r="C79" s="187" t="s">
        <v>130</v>
      </c>
      <c r="D79" s="271"/>
      <c r="E79" s="282">
        <f>F79-D79</f>
        <v>150</v>
      </c>
      <c r="F79" s="283">
        <f>IF(A79="","",VLOOKUP(A79,'ريزمتره ابینه'!$F:$G,2,FALSE))</f>
        <v>150</v>
      </c>
    </row>
    <row r="80" spans="1:6" ht="14.1" customHeight="1">
      <c r="A80" s="287"/>
      <c r="B80" s="546"/>
      <c r="C80" s="186" t="s">
        <v>155</v>
      </c>
      <c r="D80" s="224"/>
      <c r="E80" s="279"/>
      <c r="F80" s="284"/>
    </row>
    <row r="81" spans="1:6" ht="14.1" customHeight="1">
      <c r="A81" s="286" t="str">
        <f>'ريزمتره ابینه'!A911</f>
        <v>080301</v>
      </c>
      <c r="B81" s="543"/>
      <c r="C81" s="189" t="s">
        <v>130</v>
      </c>
      <c r="D81" s="271">
        <v>67.77</v>
      </c>
      <c r="E81" s="282">
        <f>F81-D81</f>
        <v>0</v>
      </c>
      <c r="F81" s="283">
        <f>IF(A81="","",VLOOKUP(A81,'ريزمتره ابینه'!$F:$G,2,FALSE))</f>
        <v>67.77</v>
      </c>
    </row>
    <row r="82" spans="1:6" ht="14.1" customHeight="1">
      <c r="A82" s="287"/>
      <c r="B82" s="546"/>
      <c r="C82" s="186" t="s">
        <v>155</v>
      </c>
      <c r="D82" s="224"/>
      <c r="E82" s="279"/>
      <c r="F82" s="284"/>
    </row>
    <row r="83" spans="1:6" ht="14.1" customHeight="1">
      <c r="A83" s="286" t="str">
        <f>'ريزمتره ابینه'!A915</f>
        <v>080305</v>
      </c>
      <c r="B83" s="543"/>
      <c r="C83" s="189" t="s">
        <v>130</v>
      </c>
      <c r="D83" s="271"/>
      <c r="E83" s="282">
        <f>F83-D83</f>
        <v>150</v>
      </c>
      <c r="F83" s="283">
        <f>IF(A83="","",VLOOKUP(A83,'ريزمتره ابینه'!$F:$G,2,FALSE))</f>
        <v>150</v>
      </c>
    </row>
    <row r="84" spans="1:6" ht="14.1" customHeight="1">
      <c r="A84" s="287"/>
      <c r="B84" s="546"/>
      <c r="C84" s="186" t="s">
        <v>155</v>
      </c>
      <c r="D84" s="224"/>
      <c r="E84" s="279"/>
      <c r="F84" s="284"/>
    </row>
    <row r="85" spans="1:6" ht="14.1" customHeight="1">
      <c r="A85" s="286" t="str">
        <f>'ريزمتره ابینه'!A919</f>
        <v>080306</v>
      </c>
      <c r="B85" s="543"/>
      <c r="C85" s="189" t="s">
        <v>130</v>
      </c>
      <c r="D85" s="271">
        <v>236.39000000000004</v>
      </c>
      <c r="E85" s="282">
        <f>F85-D85</f>
        <v>150</v>
      </c>
      <c r="F85" s="283">
        <f>IF(A85="","",VLOOKUP(A85,'ريزمتره ابینه'!$F:$G,2,FALSE))</f>
        <v>386.39000000000004</v>
      </c>
    </row>
    <row r="86" spans="1:6" ht="14.1" customHeight="1">
      <c r="A86" s="287"/>
      <c r="B86" s="546"/>
      <c r="C86" s="186" t="s">
        <v>155</v>
      </c>
      <c r="D86" s="224"/>
      <c r="E86" s="279"/>
      <c r="F86" s="284"/>
    </row>
    <row r="87" spans="1:6" ht="14.1" customHeight="1">
      <c r="A87" s="286" t="str">
        <f>'ريزمتره ابینه'!A939</f>
        <v>080307</v>
      </c>
      <c r="B87" s="543"/>
      <c r="C87" s="189" t="s">
        <v>130</v>
      </c>
      <c r="D87" s="271">
        <v>571.69999999999993</v>
      </c>
      <c r="E87" s="282">
        <f>F87-D87</f>
        <v>0</v>
      </c>
      <c r="F87" s="283">
        <f>IF(A87="","",VLOOKUP(A87,'ريزمتره ابینه'!$F:$G,2,FALSE))</f>
        <v>571.69999999999993</v>
      </c>
    </row>
    <row r="88" spans="1:6" ht="14.1" customHeight="1">
      <c r="A88" s="287"/>
      <c r="B88" s="546"/>
      <c r="C88" s="186" t="s">
        <v>155</v>
      </c>
      <c r="D88" s="224"/>
      <c r="E88" s="279"/>
      <c r="F88" s="284"/>
    </row>
    <row r="89" spans="1:6" ht="14.1" customHeight="1">
      <c r="A89" s="286" t="str">
        <f>'ريزمتره ابینه'!A959</f>
        <v>080310</v>
      </c>
      <c r="B89" s="543"/>
      <c r="C89" s="189" t="s">
        <v>130</v>
      </c>
      <c r="D89" s="271">
        <v>722.0899999999998</v>
      </c>
      <c r="E89" s="282">
        <f>F89-D89</f>
        <v>0</v>
      </c>
      <c r="F89" s="283">
        <f>IF(A89="","",VLOOKUP(A89,'ريزمتره ابینه'!$F:$G,2,FALSE))</f>
        <v>722.0899999999998</v>
      </c>
    </row>
    <row r="90" spans="1:6" ht="14.1" customHeight="1">
      <c r="A90" s="287"/>
      <c r="B90" s="546"/>
      <c r="C90" s="186" t="s">
        <v>155</v>
      </c>
      <c r="D90" s="224"/>
      <c r="E90" s="279"/>
      <c r="F90" s="284"/>
    </row>
    <row r="91" spans="1:6" ht="14.1" customHeight="1">
      <c r="A91" s="286" t="str">
        <f>'ريزمتره ابینه'!A1012</f>
        <v>090201</v>
      </c>
      <c r="B91" s="543"/>
      <c r="C91" s="187" t="s">
        <v>130</v>
      </c>
      <c r="D91" s="271">
        <v>7.61</v>
      </c>
      <c r="E91" s="282">
        <f>F91-D91</f>
        <v>0</v>
      </c>
      <c r="F91" s="283">
        <f>IF(A91="","",VLOOKUP(A91,'ريزمتره ابینه'!$F:$G,2,FALSE))</f>
        <v>7.61</v>
      </c>
    </row>
    <row r="92" spans="1:6" ht="14.1" customHeight="1">
      <c r="A92" s="287"/>
      <c r="B92" s="546"/>
      <c r="C92" s="186" t="s">
        <v>155</v>
      </c>
      <c r="D92" s="224"/>
      <c r="E92" s="279"/>
      <c r="F92" s="284"/>
    </row>
    <row r="93" spans="1:6" ht="14.1" customHeight="1">
      <c r="A93" s="286" t="str">
        <f>'ريزمتره ابینه'!A1016</f>
        <v>090207</v>
      </c>
      <c r="B93" s="543"/>
      <c r="C93" s="187" t="s">
        <v>130</v>
      </c>
      <c r="D93" s="271">
        <v>400</v>
      </c>
      <c r="E93" s="282">
        <f>F93-D93</f>
        <v>0</v>
      </c>
      <c r="F93" s="283">
        <f>IF(A93="","",VLOOKUP(A93,'ريزمتره ابینه'!$F:$G,2,FALSE))</f>
        <v>400</v>
      </c>
    </row>
    <row r="94" spans="1:6" ht="14.1" customHeight="1">
      <c r="A94" s="287"/>
      <c r="B94" s="546"/>
      <c r="C94" s="186" t="s">
        <v>155</v>
      </c>
      <c r="D94" s="224"/>
      <c r="E94" s="279"/>
      <c r="F94" s="284"/>
    </row>
    <row r="95" spans="1:6" ht="14.1" customHeight="1">
      <c r="A95" s="286" t="str">
        <f>'ريزمتره ابینه'!A1020</f>
        <v>090701</v>
      </c>
      <c r="B95" s="543"/>
      <c r="C95" s="187" t="s">
        <v>130</v>
      </c>
      <c r="D95" s="271">
        <v>2200.33</v>
      </c>
      <c r="E95" s="282">
        <f>F95-D95</f>
        <v>0</v>
      </c>
      <c r="F95" s="283">
        <f>IF(A95="","",VLOOKUP(A95,'ريزمتره ابینه'!$F:$G,2,FALSE))</f>
        <v>2200.33</v>
      </c>
    </row>
    <row r="96" spans="1:6" ht="14.1" customHeight="1">
      <c r="A96" s="287"/>
      <c r="B96" s="546"/>
      <c r="C96" s="186" t="s">
        <v>155</v>
      </c>
      <c r="D96" s="224"/>
      <c r="E96" s="279"/>
      <c r="F96" s="284"/>
    </row>
    <row r="97" spans="1:6" ht="14.1" customHeight="1">
      <c r="A97" s="286" t="str">
        <f>'ريزمتره ابینه'!A1052</f>
        <v>090802</v>
      </c>
      <c r="B97" s="543"/>
      <c r="C97" s="187" t="s">
        <v>130</v>
      </c>
      <c r="D97" s="271">
        <v>189.71999999999997</v>
      </c>
      <c r="E97" s="282">
        <f>F97-D97</f>
        <v>14.660000000000025</v>
      </c>
      <c r="F97" s="283">
        <f>IF(A97="","",VLOOKUP(A97,'ريزمتره ابینه'!$F:$G,2,FALSE))</f>
        <v>204.38</v>
      </c>
    </row>
    <row r="98" spans="1:6" ht="14.1" customHeight="1">
      <c r="A98" s="287"/>
      <c r="B98" s="546"/>
      <c r="C98" s="186" t="s">
        <v>155</v>
      </c>
      <c r="D98" s="224"/>
      <c r="E98" s="279"/>
      <c r="F98" s="284"/>
    </row>
    <row r="99" spans="1:6" ht="14.1" customHeight="1">
      <c r="A99" s="286" t="str">
        <f>'ريزمتره ابینه'!A1136</f>
        <v>****</v>
      </c>
      <c r="B99" s="543"/>
      <c r="C99" s="187" t="s">
        <v>130</v>
      </c>
      <c r="D99" s="271">
        <v>3045.8960999999999</v>
      </c>
      <c r="E99" s="282">
        <f>F99-D99</f>
        <v>0</v>
      </c>
      <c r="F99" s="283">
        <f>'ريزمتره ابینه'!G1145</f>
        <v>3045.8960999999999</v>
      </c>
    </row>
    <row r="100" spans="1:6" ht="14.1" customHeight="1">
      <c r="A100" s="287"/>
      <c r="B100" s="546"/>
      <c r="C100" s="186" t="s">
        <v>155</v>
      </c>
      <c r="D100" s="224"/>
      <c r="E100" s="279"/>
      <c r="F100" s="284"/>
    </row>
    <row r="101" spans="1:6" ht="14.1" customHeight="1">
      <c r="A101" s="286">
        <f>'ريزمتره ابینه'!A1147</f>
        <v>100104</v>
      </c>
      <c r="B101" s="543"/>
      <c r="C101" s="187" t="s">
        <v>130</v>
      </c>
      <c r="D101" s="271">
        <v>2086.5299999999997</v>
      </c>
      <c r="E101" s="282">
        <f>F101-D101</f>
        <v>1306.8599999999997</v>
      </c>
      <c r="F101" s="283">
        <f>IF(A101="","",VLOOKUP(A101,'ريزمتره ابینه'!$F:$G,2,FALSE))</f>
        <v>3393.3899999999994</v>
      </c>
    </row>
    <row r="102" spans="1:6" ht="14.1" customHeight="1">
      <c r="A102" s="287"/>
      <c r="B102" s="546"/>
      <c r="C102" s="186" t="s">
        <v>155</v>
      </c>
      <c r="D102" s="224"/>
      <c r="E102" s="279"/>
      <c r="F102" s="284"/>
    </row>
    <row r="103" spans="1:6" ht="14.1" customHeight="1">
      <c r="A103" s="286">
        <f>'ريزمتره ابینه'!A1181</f>
        <v>100404</v>
      </c>
      <c r="B103" s="543"/>
      <c r="C103" s="187" t="s">
        <v>130</v>
      </c>
      <c r="D103" s="271">
        <v>2086.5299999999997</v>
      </c>
      <c r="E103" s="282">
        <f>F103-D103</f>
        <v>1306.8599999999997</v>
      </c>
      <c r="F103" s="283">
        <f>IF(A103="","",VLOOKUP(A103,'ريزمتره ابینه'!$F:$G,2,FALSE))</f>
        <v>3393.3899999999994</v>
      </c>
    </row>
    <row r="104" spans="1:6" ht="14.1" customHeight="1">
      <c r="A104" s="287"/>
      <c r="B104" s="546"/>
      <c r="C104" s="186" t="s">
        <v>155</v>
      </c>
      <c r="D104" s="224"/>
      <c r="E104" s="279"/>
      <c r="F104" s="284"/>
    </row>
    <row r="105" spans="1:6" ht="14.1" customHeight="1">
      <c r="A105" s="286">
        <f>'ريزمتره ابینه'!A1216</f>
        <v>110201</v>
      </c>
      <c r="B105" s="543"/>
      <c r="C105" s="187" t="s">
        <v>130</v>
      </c>
      <c r="D105" s="271">
        <v>328.32</v>
      </c>
      <c r="E105" s="282">
        <f>F105-D105</f>
        <v>0</v>
      </c>
      <c r="F105" s="283">
        <f>IF(A105="","",VLOOKUP(A105,'ريزمتره ابینه'!$F:$G,2,FALSE))</f>
        <v>328.32</v>
      </c>
    </row>
    <row r="106" spans="1:6" ht="14.1" customHeight="1">
      <c r="A106" s="287"/>
      <c r="B106" s="546"/>
      <c r="C106" s="186" t="s">
        <v>155</v>
      </c>
      <c r="D106" s="224"/>
      <c r="E106" s="279"/>
      <c r="F106" s="284"/>
    </row>
    <row r="107" spans="1:6" ht="14.1" customHeight="1">
      <c r="A107" s="286">
        <f>'ريزمتره ابینه'!A1234</f>
        <v>110205</v>
      </c>
      <c r="B107" s="543"/>
      <c r="C107" s="187" t="s">
        <v>130</v>
      </c>
      <c r="D107" s="271">
        <v>2720.27</v>
      </c>
      <c r="E107" s="282">
        <f>F107-D107</f>
        <v>0</v>
      </c>
      <c r="F107" s="283">
        <f>IF(A107="","",VLOOKUP(A107,'ريزمتره ابینه'!$F:$G,2,FALSE))</f>
        <v>2720.27</v>
      </c>
    </row>
    <row r="108" spans="1:6" ht="14.1" customHeight="1">
      <c r="A108" s="287"/>
      <c r="B108" s="546"/>
      <c r="C108" s="186" t="s">
        <v>155</v>
      </c>
      <c r="D108" s="224"/>
      <c r="E108" s="279"/>
      <c r="F108" s="284"/>
    </row>
    <row r="109" spans="1:6" ht="14.1" customHeight="1">
      <c r="A109" s="286">
        <f>'ريزمتره ابینه'!A1252</f>
        <v>110208</v>
      </c>
      <c r="B109" s="543"/>
      <c r="C109" s="187" t="s">
        <v>130</v>
      </c>
      <c r="D109" s="271">
        <v>2720.27</v>
      </c>
      <c r="E109" s="282">
        <f>F109-D109</f>
        <v>0</v>
      </c>
      <c r="F109" s="283">
        <f>IF(A109="","",VLOOKUP(A109,'ريزمتره ابینه'!$F:$G,2,FALSE))</f>
        <v>2720.27</v>
      </c>
    </row>
    <row r="110" spans="1:6" ht="14.1" customHeight="1">
      <c r="A110" s="287"/>
      <c r="B110" s="546"/>
      <c r="C110" s="186" t="s">
        <v>155</v>
      </c>
      <c r="D110" s="224"/>
      <c r="E110" s="279"/>
      <c r="F110" s="284"/>
    </row>
    <row r="111" spans="1:6" ht="12" customHeight="1">
      <c r="A111" s="286">
        <f>'ريزمتره ابینه'!A1270</f>
        <v>110402</v>
      </c>
      <c r="B111" s="543"/>
      <c r="C111" s="187" t="s">
        <v>130</v>
      </c>
      <c r="D111" s="271">
        <v>395.43</v>
      </c>
      <c r="E111" s="282">
        <f>F111-D111</f>
        <v>394.19</v>
      </c>
      <c r="F111" s="283">
        <f>IF(A111="","",VLOOKUP(A111,'ريزمتره ابینه'!$F:$G,2,FALSE))</f>
        <v>789.62</v>
      </c>
    </row>
    <row r="112" spans="1:6" ht="12" customHeight="1">
      <c r="A112" s="287"/>
      <c r="B112" s="546"/>
      <c r="C112" s="186" t="s">
        <v>155</v>
      </c>
      <c r="D112" s="224"/>
      <c r="E112" s="279"/>
      <c r="F112" s="284"/>
    </row>
    <row r="113" spans="1:6" ht="12" customHeight="1">
      <c r="A113" s="286">
        <f>'ريزمتره ابینه'!A1292</f>
        <v>110504</v>
      </c>
      <c r="B113" s="543"/>
      <c r="C113" s="187" t="s">
        <v>130</v>
      </c>
      <c r="D113" s="271">
        <v>2720.27</v>
      </c>
      <c r="E113" s="282">
        <f>F113-D113</f>
        <v>0</v>
      </c>
      <c r="F113" s="283">
        <f>IF(A113="","",VLOOKUP(A113,'ريزمتره ابینه'!$F:$G,2,FALSE))</f>
        <v>2720.27</v>
      </c>
    </row>
    <row r="114" spans="1:6" ht="12" customHeight="1">
      <c r="A114" s="287"/>
      <c r="B114" s="546"/>
      <c r="C114" s="186" t="s">
        <v>155</v>
      </c>
      <c r="D114" s="224"/>
      <c r="E114" s="279"/>
      <c r="F114" s="284"/>
    </row>
    <row r="115" spans="1:6" ht="12" customHeight="1">
      <c r="A115" s="286" t="str">
        <f>'ريزمتره ابینه'!A1310</f>
        <v>111004*</v>
      </c>
      <c r="B115" s="543"/>
      <c r="C115" s="187" t="s">
        <v>130</v>
      </c>
      <c r="D115" s="271">
        <v>168</v>
      </c>
      <c r="E115" s="282">
        <f>F115-D115</f>
        <v>0</v>
      </c>
      <c r="F115" s="283">
        <f>IF(A115="","",VLOOKUP(A115,'ريزمتره ابینه'!$F:$G,2,FALSE))</f>
        <v>168</v>
      </c>
    </row>
    <row r="116" spans="1:6" ht="12" customHeight="1">
      <c r="A116" s="287"/>
      <c r="B116" s="546"/>
      <c r="C116" s="186" t="s">
        <v>155</v>
      </c>
      <c r="D116" s="224"/>
      <c r="E116" s="279"/>
      <c r="F116" s="284"/>
    </row>
    <row r="117" spans="1:6" ht="12" customHeight="1">
      <c r="A117" s="286">
        <f>'ريزمتره ابینه'!A1315</f>
        <v>130303</v>
      </c>
      <c r="B117" s="269"/>
      <c r="C117" s="188" t="s">
        <v>130</v>
      </c>
      <c r="D117" s="225">
        <v>1997.3200000000002</v>
      </c>
      <c r="E117" s="282">
        <f>F117-D117</f>
        <v>0</v>
      </c>
      <c r="F117" s="283">
        <f>IF(A117="","",VLOOKUP(A117,'ريزمتره ابینه'!$F:$G,2,FALSE))</f>
        <v>1997.3200000000002</v>
      </c>
    </row>
    <row r="118" spans="1:6" ht="12" customHeight="1">
      <c r="A118" s="287"/>
      <c r="B118" s="268"/>
      <c r="C118" s="186" t="s">
        <v>155</v>
      </c>
      <c r="D118" s="226"/>
      <c r="E118" s="281"/>
      <c r="F118" s="284"/>
    </row>
    <row r="119" spans="1:6" ht="12" customHeight="1">
      <c r="A119" s="286">
        <f>'ريزمتره ابینه'!A1334</f>
        <v>160104</v>
      </c>
      <c r="B119" s="413"/>
      <c r="C119" s="188" t="s">
        <v>130</v>
      </c>
      <c r="D119" s="225"/>
      <c r="E119" s="282">
        <f>F119-D119</f>
        <v>1050</v>
      </c>
      <c r="F119" s="283">
        <f>IF(A119="","",VLOOKUP(A119,'ريزمتره ابینه'!$F:$G,2,FALSE))</f>
        <v>1050</v>
      </c>
    </row>
    <row r="120" spans="1:6" ht="12" customHeight="1">
      <c r="A120" s="287"/>
      <c r="B120" s="412"/>
      <c r="C120" s="186" t="s">
        <v>155</v>
      </c>
      <c r="D120" s="226"/>
      <c r="E120" s="281"/>
      <c r="F120" s="284"/>
    </row>
    <row r="121" spans="1:6" ht="12" customHeight="1">
      <c r="A121" s="288">
        <f>'ريزمتره ابینه'!A1353</f>
        <v>180302</v>
      </c>
      <c r="B121" s="543"/>
      <c r="C121" s="188" t="s">
        <v>130</v>
      </c>
      <c r="D121" s="271">
        <v>4465.2330000000002</v>
      </c>
      <c r="E121" s="282">
        <f>F121-D121</f>
        <v>2257.4929999999995</v>
      </c>
      <c r="F121" s="283">
        <f>IF(A121="","",VLOOKUP(A121,'ريزمتره ابینه'!$F:$G,2,FALSE))</f>
        <v>6722.7259999999997</v>
      </c>
    </row>
    <row r="122" spans="1:6" ht="12" customHeight="1">
      <c r="A122" s="287"/>
      <c r="B122" s="547"/>
      <c r="C122" s="186" t="s">
        <v>155</v>
      </c>
      <c r="D122" s="224"/>
      <c r="E122" s="281"/>
      <c r="F122" s="284"/>
    </row>
    <row r="123" spans="1:6" ht="12" customHeight="1">
      <c r="A123" s="288">
        <f>'ريزمتره ابینه'!A1391</f>
        <v>180305</v>
      </c>
      <c r="B123" s="543"/>
      <c r="C123" s="188" t="s">
        <v>130</v>
      </c>
      <c r="D123" s="271">
        <v>4465.2330000000002</v>
      </c>
      <c r="E123" s="282">
        <f>F123-D123</f>
        <v>1674.9759999999997</v>
      </c>
      <c r="F123" s="283">
        <f>IF(A123="","",VLOOKUP(A123,'ريزمتره ابینه'!$F:$G,2,FALSE))</f>
        <v>6140.2089999999998</v>
      </c>
    </row>
    <row r="124" spans="1:6" ht="12" customHeight="1">
      <c r="A124" s="287"/>
      <c r="B124" s="547"/>
      <c r="C124" s="186" t="s">
        <v>155</v>
      </c>
      <c r="D124" s="224"/>
      <c r="E124" s="281"/>
      <c r="F124" s="284"/>
    </row>
    <row r="125" spans="1:6" ht="12" customHeight="1">
      <c r="A125" s="288">
        <f>'ريزمتره ابینه'!A1429</f>
        <v>180308</v>
      </c>
      <c r="B125" s="543"/>
      <c r="C125" s="188" t="s">
        <v>130</v>
      </c>
      <c r="D125" s="271">
        <v>140.71</v>
      </c>
      <c r="E125" s="282">
        <f>F125-D125</f>
        <v>0</v>
      </c>
      <c r="F125" s="283">
        <f>IF(A125="","",VLOOKUP(A125,'ريزمتره ابینه'!$F:$G,2,FALSE))</f>
        <v>140.71</v>
      </c>
    </row>
    <row r="126" spans="1:6" ht="12" customHeight="1">
      <c r="A126" s="287"/>
      <c r="B126" s="547"/>
      <c r="C126" s="186" t="s">
        <v>155</v>
      </c>
      <c r="D126" s="224"/>
      <c r="E126" s="281"/>
      <c r="F126" s="284"/>
    </row>
    <row r="127" spans="1:6" ht="12" customHeight="1">
      <c r="A127" s="288">
        <f>'ريزمتره ابینه'!A1447</f>
        <v>180317</v>
      </c>
      <c r="B127" s="543"/>
      <c r="C127" s="188" t="s">
        <v>130</v>
      </c>
      <c r="D127" s="271">
        <v>3048.57</v>
      </c>
      <c r="E127" s="282">
        <f>F127-D127</f>
        <v>0</v>
      </c>
      <c r="F127" s="283">
        <f>IF(A127="","",VLOOKUP(A127,'ريزمتره ابینه'!$F:$G,2,FALSE))</f>
        <v>3048.57</v>
      </c>
    </row>
    <row r="128" spans="1:6" ht="12" customHeight="1">
      <c r="A128" s="287"/>
      <c r="B128" s="547"/>
      <c r="C128" s="186" t="s">
        <v>155</v>
      </c>
      <c r="D128" s="224"/>
      <c r="E128" s="281"/>
      <c r="F128" s="284"/>
    </row>
    <row r="129" spans="1:6" ht="12" customHeight="1">
      <c r="A129" s="288">
        <f>'ريزمتره ابینه'!A1466</f>
        <v>220504</v>
      </c>
      <c r="B129" s="543"/>
      <c r="C129" s="188" t="s">
        <v>130</v>
      </c>
      <c r="D129" s="271">
        <v>0</v>
      </c>
      <c r="E129" s="282">
        <f>F129-D129</f>
        <v>660.52</v>
      </c>
      <c r="F129" s="283">
        <f>IF(A129="","",VLOOKUP(A129,'ريزمتره ابینه'!$F:$G,2,FALSE))</f>
        <v>660.52</v>
      </c>
    </row>
    <row r="130" spans="1:6" ht="12" customHeight="1">
      <c r="A130" s="287"/>
      <c r="B130" s="547"/>
      <c r="C130" s="186" t="s">
        <v>155</v>
      </c>
      <c r="D130" s="224"/>
      <c r="E130" s="281"/>
      <c r="F130" s="284"/>
    </row>
    <row r="131" spans="1:6" ht="12" customHeight="1">
      <c r="A131" s="288">
        <f>'ريزمتره ابینه'!A1484</f>
        <v>220603</v>
      </c>
      <c r="B131" s="543"/>
      <c r="C131" s="188" t="s">
        <v>130</v>
      </c>
      <c r="D131" s="271">
        <v>0</v>
      </c>
      <c r="E131" s="282">
        <f>F131-D131</f>
        <v>660.52</v>
      </c>
      <c r="F131" s="283">
        <f>IF(A131="","",VLOOKUP(A131,'ريزمتره ابینه'!$F:$G,2,FALSE))</f>
        <v>660.52</v>
      </c>
    </row>
    <row r="132" spans="1:6" ht="12" customHeight="1">
      <c r="A132" s="287"/>
      <c r="B132" s="547"/>
      <c r="C132" s="186" t="s">
        <v>155</v>
      </c>
      <c r="D132" s="224"/>
      <c r="E132" s="281"/>
      <c r="F132" s="284"/>
    </row>
    <row r="133" spans="1:6" ht="12" customHeight="1">
      <c r="A133" s="288" t="str">
        <f>'ريزمتره ابینه'!A1502</f>
        <v>****</v>
      </c>
      <c r="B133" s="543"/>
      <c r="C133" s="188" t="s">
        <v>130</v>
      </c>
      <c r="D133" s="271">
        <v>0</v>
      </c>
      <c r="E133" s="282">
        <f>F133-D133</f>
        <v>471.8</v>
      </c>
      <c r="F133" s="283">
        <f>'ريزمتره ابینه'!G1519</f>
        <v>471.8</v>
      </c>
    </row>
    <row r="134" spans="1:6" ht="12" customHeight="1">
      <c r="A134" s="287"/>
      <c r="B134" s="547"/>
      <c r="C134" s="186" t="s">
        <v>155</v>
      </c>
      <c r="D134" s="224"/>
      <c r="E134" s="281"/>
      <c r="F134" s="284"/>
    </row>
    <row r="135" spans="1:6" ht="12" customHeight="1">
      <c r="A135" s="288">
        <f>'ريزمتره ابینه'!A1521</f>
        <v>230601</v>
      </c>
      <c r="B135" s="543"/>
      <c r="C135" s="188" t="s">
        <v>130</v>
      </c>
      <c r="D135" s="271">
        <v>98.44</v>
      </c>
      <c r="E135" s="282">
        <f>F135-D135</f>
        <v>23</v>
      </c>
      <c r="F135" s="283">
        <f>IF(A135="","",VLOOKUP(A135,'ريزمتره ابینه'!$F:$G,2,FALSE))</f>
        <v>121.44</v>
      </c>
    </row>
    <row r="136" spans="1:6" ht="12" customHeight="1">
      <c r="A136" s="287"/>
      <c r="B136" s="547"/>
      <c r="C136" s="186" t="s">
        <v>155</v>
      </c>
      <c r="D136" s="224"/>
      <c r="E136" s="281"/>
      <c r="F136" s="284"/>
    </row>
    <row r="137" spans="1:6" ht="12" customHeight="1">
      <c r="A137" s="286">
        <f>'ريزمتره ابینه'!A1579</f>
        <v>230602</v>
      </c>
      <c r="B137" s="543"/>
      <c r="C137" s="187" t="s">
        <v>130</v>
      </c>
      <c r="D137" s="271">
        <v>885.96</v>
      </c>
      <c r="E137" s="282">
        <f>F137-D137</f>
        <v>207</v>
      </c>
      <c r="F137" s="283">
        <f>IF(A137="","",VLOOKUP(A137,'ريزمتره ابینه'!$F:$G,2,FALSE))</f>
        <v>1092.96</v>
      </c>
    </row>
    <row r="138" spans="1:6" ht="12" customHeight="1">
      <c r="A138" s="287"/>
      <c r="B138" s="546"/>
      <c r="C138" s="186" t="s">
        <v>155</v>
      </c>
      <c r="D138" s="224"/>
      <c r="E138" s="279"/>
      <c r="F138" s="284"/>
    </row>
    <row r="139" spans="1:6" ht="12" customHeight="1">
      <c r="A139" s="286">
        <f>'ريزمتره ابینه'!A1584</f>
        <v>280101</v>
      </c>
      <c r="B139" s="543"/>
      <c r="C139" s="187" t="s">
        <v>130</v>
      </c>
      <c r="D139" s="271">
        <v>70692.568151804982</v>
      </c>
      <c r="E139" s="282">
        <f>F139-D139</f>
        <v>14559.349576905006</v>
      </c>
      <c r="F139" s="283">
        <f>IF(A139="","",VLOOKUP(A139,'ريزمتره ابینه'!$F:$G,2,FALSE))</f>
        <v>85251.917728709988</v>
      </c>
    </row>
    <row r="140" spans="1:6" ht="12" customHeight="1">
      <c r="A140" s="287"/>
      <c r="B140" s="544"/>
      <c r="C140" s="186" t="s">
        <v>155</v>
      </c>
      <c r="D140" s="224"/>
      <c r="E140" s="279"/>
      <c r="F140" s="284"/>
    </row>
    <row r="141" spans="1:6" ht="12" customHeight="1">
      <c r="A141" s="288">
        <f>'ريزمتره ابینه'!A1612</f>
        <v>280102</v>
      </c>
      <c r="B141" s="543"/>
      <c r="C141" s="188" t="s">
        <v>130</v>
      </c>
      <c r="D141" s="271">
        <v>117820.946919675</v>
      </c>
      <c r="E141" s="282">
        <f>F141-D141</f>
        <v>24265.582628174991</v>
      </c>
      <c r="F141" s="283">
        <f>IF(A141="","",VLOOKUP(A141,'ريزمتره ابینه'!$F:$G,2,FALSE))</f>
        <v>142086.52954784999</v>
      </c>
    </row>
    <row r="142" spans="1:6" ht="12" customHeight="1">
      <c r="A142" s="287"/>
      <c r="B142" s="547"/>
      <c r="C142" s="186" t="s">
        <v>155</v>
      </c>
      <c r="D142" s="224"/>
      <c r="E142" s="281"/>
      <c r="F142" s="284"/>
    </row>
    <row r="143" spans="1:6" ht="12" customHeight="1">
      <c r="A143" s="286">
        <f>'ريزمتره ابینه'!A1630</f>
        <v>280103</v>
      </c>
      <c r="B143" s="543"/>
      <c r="C143" s="187" t="s">
        <v>130</v>
      </c>
      <c r="D143" s="271">
        <v>74893.6797525</v>
      </c>
      <c r="E143" s="282">
        <f>F143-D143</f>
        <v>-16924.89503249999</v>
      </c>
      <c r="F143" s="283">
        <f>IF(A143="","",VLOOKUP(A143,'ريزمتره ابینه'!$F:$G,2,FALSE))</f>
        <v>57968.784720000011</v>
      </c>
    </row>
    <row r="144" spans="1:6" ht="12" customHeight="1">
      <c r="A144" s="287"/>
      <c r="B144" s="546"/>
      <c r="C144" s="186" t="s">
        <v>155</v>
      </c>
      <c r="D144" s="224"/>
      <c r="E144" s="279"/>
      <c r="F144" s="284"/>
    </row>
    <row r="145" spans="1:6" ht="12" customHeight="1">
      <c r="A145" s="286" t="str">
        <f>'ريزمتره ابینه'!A1635</f>
        <v>290402*</v>
      </c>
      <c r="B145" s="543"/>
      <c r="C145" s="187" t="s">
        <v>130</v>
      </c>
      <c r="D145" s="271">
        <v>1</v>
      </c>
      <c r="E145" s="282">
        <f>F145-D145</f>
        <v>0</v>
      </c>
      <c r="F145" s="282">
        <f>'ريزمتره ابینه'!G1637</f>
        <v>1</v>
      </c>
    </row>
    <row r="146" spans="1:6" ht="12" customHeight="1">
      <c r="A146" s="287"/>
      <c r="B146" s="546"/>
      <c r="C146" s="186" t="s">
        <v>155</v>
      </c>
      <c r="D146" s="224"/>
      <c r="E146" s="279"/>
      <c r="F146" s="284"/>
    </row>
    <row r="147" spans="1:6" ht="12" customHeight="1">
      <c r="A147" s="286" t="str">
        <f>'ريزمتره ابینه'!A1638</f>
        <v>290403*</v>
      </c>
      <c r="B147" s="543"/>
      <c r="C147" s="187" t="s">
        <v>130</v>
      </c>
      <c r="D147" s="271">
        <v>24</v>
      </c>
      <c r="E147" s="282">
        <f>F147-D147</f>
        <v>0</v>
      </c>
      <c r="F147" s="282">
        <f>'ريزمتره ابینه'!G1640</f>
        <v>24</v>
      </c>
    </row>
    <row r="148" spans="1:6" ht="12" customHeight="1">
      <c r="A148" s="287"/>
      <c r="B148" s="547"/>
      <c r="C148" s="186" t="s">
        <v>155</v>
      </c>
      <c r="D148" s="224"/>
      <c r="E148" s="281"/>
      <c r="F148" s="284"/>
    </row>
    <row r="149" spans="1:6" ht="12" customHeight="1">
      <c r="A149" s="288">
        <f>'ريزمتره ابینه'!A1642</f>
        <v>410202</v>
      </c>
      <c r="B149" s="269"/>
      <c r="C149" s="188" t="s">
        <v>130</v>
      </c>
      <c r="D149" s="282">
        <v>150</v>
      </c>
      <c r="E149" s="282">
        <f>F149-D149</f>
        <v>0</v>
      </c>
      <c r="F149" s="283">
        <f>IF(A149="","",VLOOKUP(A149,'ريزمتره ابینه'!$F:$G,2,FALSE))</f>
        <v>150</v>
      </c>
    </row>
    <row r="150" spans="1:6" ht="12" customHeight="1">
      <c r="A150" s="287"/>
      <c r="B150" s="268"/>
      <c r="C150" s="186" t="s">
        <v>155</v>
      </c>
      <c r="D150" s="226"/>
      <c r="E150" s="281"/>
      <c r="F150" s="285"/>
    </row>
    <row r="151" spans="1:6" ht="12" customHeight="1">
      <c r="A151" s="286">
        <f>'ريزمتره ابینه'!A1645</f>
        <v>410203</v>
      </c>
      <c r="B151" s="543"/>
      <c r="C151" s="187" t="s">
        <v>130</v>
      </c>
      <c r="D151" s="271">
        <v>150</v>
      </c>
      <c r="E151" s="282">
        <f>F151-D151</f>
        <v>0</v>
      </c>
      <c r="F151" s="283">
        <f>IF(A151="","",VLOOKUP(A151,'ريزمتره ابینه'!$F:$G,2,FALSE))</f>
        <v>150</v>
      </c>
    </row>
    <row r="152" spans="1:6" ht="12" customHeight="1">
      <c r="A152" s="287"/>
      <c r="B152" s="546"/>
      <c r="C152" s="186" t="s">
        <v>155</v>
      </c>
      <c r="D152" s="224"/>
      <c r="E152" s="279"/>
      <c r="F152" s="285"/>
    </row>
    <row r="153" spans="1:6" ht="12" customHeight="1">
      <c r="A153" s="286">
        <f>'ريزمتره ابینه'!A1648</f>
        <v>410404</v>
      </c>
      <c r="B153" s="543"/>
      <c r="C153" s="187" t="s">
        <v>130</v>
      </c>
      <c r="D153" s="271">
        <v>1500</v>
      </c>
      <c r="E153" s="282">
        <f>F153-D153</f>
        <v>500</v>
      </c>
      <c r="F153" s="283">
        <f>IF(A153="","",VLOOKUP(A153,'ريزمتره ابینه'!$F:$G,2,FALSE))</f>
        <v>2000</v>
      </c>
    </row>
    <row r="154" spans="1:6" ht="12" customHeight="1">
      <c r="A154" s="287"/>
      <c r="B154" s="546"/>
      <c r="C154" s="186" t="s">
        <v>155</v>
      </c>
      <c r="D154" s="224"/>
      <c r="E154" s="279"/>
      <c r="F154" s="285"/>
    </row>
    <row r="155" spans="1:6" ht="12" customHeight="1">
      <c r="A155" s="286">
        <f>'ريزمتره ابینه'!A1651</f>
        <v>410501</v>
      </c>
      <c r="B155" s="543"/>
      <c r="C155" s="187" t="s">
        <v>130</v>
      </c>
      <c r="D155" s="271">
        <v>150</v>
      </c>
      <c r="E155" s="282">
        <f>F155-D155</f>
        <v>0</v>
      </c>
      <c r="F155" s="283">
        <f>IF(A155="","",VLOOKUP(A155,'ريزمتره ابینه'!$F:$G,2,FALSE))</f>
        <v>150</v>
      </c>
    </row>
    <row r="156" spans="1:6" ht="12" customHeight="1">
      <c r="A156" s="287"/>
      <c r="B156" s="546"/>
      <c r="C156" s="186" t="s">
        <v>155</v>
      </c>
      <c r="D156" s="224"/>
      <c r="E156" s="279"/>
      <c r="F156" s="285"/>
    </row>
    <row r="157" spans="1:6" ht="12" customHeight="1">
      <c r="A157" s="286">
        <f>'ريزمتره ابینه'!A1654</f>
        <v>410701</v>
      </c>
      <c r="B157" s="543"/>
      <c r="C157" s="187" t="s">
        <v>130</v>
      </c>
      <c r="D157" s="271">
        <v>40816</v>
      </c>
      <c r="E157" s="282">
        <f>F157-D157</f>
        <v>-38816</v>
      </c>
      <c r="F157" s="283">
        <f>IF(A157="","",VLOOKUP(A157,'ريزمتره ابینه'!$F:$G,2,FALSE))</f>
        <v>2000</v>
      </c>
    </row>
    <row r="158" spans="1:6" ht="12" customHeight="1">
      <c r="A158" s="287"/>
      <c r="B158" s="546"/>
      <c r="C158" s="186" t="s">
        <v>155</v>
      </c>
      <c r="D158" s="224"/>
      <c r="E158" s="279"/>
      <c r="F158" s="285"/>
    </row>
    <row r="159" spans="1:6" ht="12" customHeight="1">
      <c r="A159" s="286">
        <f>'ريزمتره ابینه'!A1657</f>
        <v>410801</v>
      </c>
      <c r="B159" s="543"/>
      <c r="C159" s="187" t="s">
        <v>130</v>
      </c>
      <c r="D159" s="271">
        <v>10000</v>
      </c>
      <c r="E159" s="282">
        <f>F159-D159</f>
        <v>0</v>
      </c>
      <c r="F159" s="283">
        <f>IF(A159="","",VLOOKUP(A159,'ريزمتره ابینه'!$F:$G,2,FALSE))</f>
        <v>10000</v>
      </c>
    </row>
    <row r="160" spans="1:6" ht="12" customHeight="1">
      <c r="A160" s="287"/>
      <c r="B160" s="544"/>
      <c r="C160" s="186" t="s">
        <v>155</v>
      </c>
      <c r="D160" s="224"/>
      <c r="E160" s="279"/>
      <c r="F160" s="285"/>
    </row>
    <row r="161" spans="1:6" ht="12" customHeight="1">
      <c r="A161" s="286">
        <f>'ريزمتره ابینه'!A1660</f>
        <v>410804</v>
      </c>
      <c r="B161" s="543"/>
      <c r="C161" s="187" t="s">
        <v>130</v>
      </c>
      <c r="D161" s="271">
        <v>5000</v>
      </c>
      <c r="E161" s="282">
        <f>F161-D161</f>
        <v>-5000</v>
      </c>
      <c r="F161" s="283">
        <f>IF(A161="","",VLOOKUP(A161,'ريزمتره ابینه'!$F:$G,2,FALSE))</f>
        <v>0</v>
      </c>
    </row>
    <row r="162" spans="1:6" ht="12" customHeight="1">
      <c r="A162" s="287"/>
      <c r="B162" s="544"/>
      <c r="C162" s="186" t="s">
        <v>155</v>
      </c>
      <c r="D162" s="224"/>
      <c r="E162" s="279"/>
      <c r="F162" s="285"/>
    </row>
    <row r="163" spans="1:6" ht="12" customHeight="1">
      <c r="A163" s="286">
        <f>'ريزمتره ابینه'!A1663</f>
        <v>410904</v>
      </c>
      <c r="B163" s="543"/>
      <c r="C163" s="187" t="s">
        <v>130</v>
      </c>
      <c r="D163" s="271">
        <v>5000</v>
      </c>
      <c r="E163" s="282">
        <f>F163-D163</f>
        <v>0</v>
      </c>
      <c r="F163" s="283">
        <f>IF(A163="","",VLOOKUP(A163,'ريزمتره ابینه'!$F:$G,2,FALSE))</f>
        <v>5000</v>
      </c>
    </row>
    <row r="164" spans="1:6" ht="12" customHeight="1">
      <c r="A164" s="287"/>
      <c r="B164" s="544"/>
      <c r="C164" s="186" t="s">
        <v>155</v>
      </c>
      <c r="D164" s="224"/>
      <c r="E164" s="279"/>
      <c r="F164" s="285"/>
    </row>
    <row r="165" spans="1:6" ht="12" customHeight="1">
      <c r="A165" s="286">
        <f>'ريزمتره ابینه'!A1666</f>
        <v>410906</v>
      </c>
      <c r="B165" s="543"/>
      <c r="C165" s="187" t="s">
        <v>130</v>
      </c>
      <c r="D165" s="271">
        <v>3000</v>
      </c>
      <c r="E165" s="282">
        <f>F165-D165</f>
        <v>0</v>
      </c>
      <c r="F165" s="283">
        <f>IF(A165="","",VLOOKUP(A165,'ريزمتره ابینه'!$F:$G,2,FALSE))</f>
        <v>3000</v>
      </c>
    </row>
    <row r="166" spans="1:6" ht="12" customHeight="1">
      <c r="A166" s="287"/>
      <c r="B166" s="544"/>
      <c r="C166" s="186" t="s">
        <v>155</v>
      </c>
      <c r="D166" s="224"/>
      <c r="E166" s="279"/>
      <c r="F166" s="285"/>
    </row>
    <row r="167" spans="1:6" ht="12" customHeight="1">
      <c r="A167" s="286">
        <f>'ريزمتره ابینه'!A1669</f>
        <v>411002</v>
      </c>
      <c r="B167" s="543"/>
      <c r="C167" s="187" t="s">
        <v>130</v>
      </c>
      <c r="D167" s="271">
        <v>174191</v>
      </c>
      <c r="E167" s="282">
        <f>F167-D167</f>
        <v>-174191</v>
      </c>
      <c r="F167" s="283">
        <f>IF(A167="","",VLOOKUP(A167,'ريزمتره ابینه'!$F:$G,2,FALSE))</f>
        <v>0</v>
      </c>
    </row>
    <row r="168" spans="1:6" ht="12" customHeight="1">
      <c r="A168" s="287"/>
      <c r="B168" s="546"/>
      <c r="C168" s="186" t="s">
        <v>155</v>
      </c>
      <c r="D168" s="224"/>
      <c r="E168" s="279"/>
      <c r="F168" s="285"/>
    </row>
    <row r="169" spans="1:6" ht="12" customHeight="1">
      <c r="A169" s="288">
        <f>'ريزمتره ابینه'!A1672</f>
        <v>411701</v>
      </c>
      <c r="B169" s="543"/>
      <c r="C169" s="188" t="s">
        <v>130</v>
      </c>
      <c r="D169" s="271">
        <v>1200</v>
      </c>
      <c r="E169" s="282">
        <f>F169-D169</f>
        <v>0</v>
      </c>
      <c r="F169" s="283">
        <f>IF(A169="","",VLOOKUP(A169,'ريزمتره ابینه'!$F:$G,2,FALSE))</f>
        <v>1200</v>
      </c>
    </row>
    <row r="170" spans="1:6" ht="12" customHeight="1">
      <c r="A170" s="287"/>
      <c r="B170" s="544"/>
      <c r="C170" s="186" t="s">
        <v>155</v>
      </c>
      <c r="D170" s="224"/>
      <c r="E170" s="281"/>
      <c r="F170" s="285"/>
    </row>
    <row r="171" spans="1:6" ht="16.5" customHeight="1">
      <c r="A171" s="253"/>
      <c r="B171" s="254"/>
      <c r="C171" s="254"/>
      <c r="D171" s="255"/>
      <c r="E171" s="256"/>
      <c r="F171" s="257"/>
    </row>
  </sheetData>
  <protectedRanges>
    <protectedRange password="CE28" sqref="D7:D170" name="مشاور_1_3"/>
  </protectedRanges>
  <mergeCells count="79">
    <mergeCell ref="B31:B32"/>
    <mergeCell ref="B137:B138"/>
    <mergeCell ref="B61:B62"/>
    <mergeCell ref="B165:B166"/>
    <mergeCell ref="B159:B160"/>
    <mergeCell ref="B127:B128"/>
    <mergeCell ref="B73:B74"/>
    <mergeCell ref="B85:B86"/>
    <mergeCell ref="B105:B106"/>
    <mergeCell ref="B113:B114"/>
    <mergeCell ref="B53:B54"/>
    <mergeCell ref="B69:B70"/>
    <mergeCell ref="B45:B46"/>
    <mergeCell ref="B49:B50"/>
    <mergeCell ref="B67:B68"/>
    <mergeCell ref="B163:B164"/>
    <mergeCell ref="B35:B36"/>
    <mergeCell ref="B65:B66"/>
    <mergeCell ref="B39:B40"/>
    <mergeCell ref="B77:B78"/>
    <mergeCell ref="B91:B92"/>
    <mergeCell ref="B59:B60"/>
    <mergeCell ref="B37:B38"/>
    <mergeCell ref="B131:B132"/>
    <mergeCell ref="B103:B104"/>
    <mergeCell ref="B79:B80"/>
    <mergeCell ref="B83:B84"/>
    <mergeCell ref="B97:B98"/>
    <mergeCell ref="B123:B124"/>
    <mergeCell ref="B125:B126"/>
    <mergeCell ref="B41:B42"/>
    <mergeCell ref="B51:B52"/>
    <mergeCell ref="B55:B56"/>
    <mergeCell ref="B57:B58"/>
    <mergeCell ref="B63:B64"/>
    <mergeCell ref="A5:F5"/>
    <mergeCell ref="B23:B24"/>
    <mergeCell ref="B29:B30"/>
    <mergeCell ref="B21:B22"/>
    <mergeCell ref="B27:B28"/>
    <mergeCell ref="B9:B10"/>
    <mergeCell ref="B25:B26"/>
    <mergeCell ref="B13:B14"/>
    <mergeCell ref="B15:B16"/>
    <mergeCell ref="B19:B20"/>
    <mergeCell ref="B17:B18"/>
    <mergeCell ref="B7:B8"/>
    <mergeCell ref="B99:B100"/>
    <mergeCell ref="B71:B72"/>
    <mergeCell ref="B111:B112"/>
    <mergeCell ref="B87:B88"/>
    <mergeCell ref="B147:B148"/>
    <mergeCell ref="B95:B96"/>
    <mergeCell ref="B93:B94"/>
    <mergeCell ref="B101:B102"/>
    <mergeCell ref="B81:B82"/>
    <mergeCell ref="B75:B76"/>
    <mergeCell ref="B109:B110"/>
    <mergeCell ref="B121:B122"/>
    <mergeCell ref="B107:B108"/>
    <mergeCell ref="B139:B140"/>
    <mergeCell ref="B129:B130"/>
    <mergeCell ref="B133:B134"/>
    <mergeCell ref="B169:B170"/>
    <mergeCell ref="C2:D4"/>
    <mergeCell ref="B157:B158"/>
    <mergeCell ref="B161:B162"/>
    <mergeCell ref="B167:B168"/>
    <mergeCell ref="B151:B152"/>
    <mergeCell ref="B155:B156"/>
    <mergeCell ref="B141:B142"/>
    <mergeCell ref="B143:B144"/>
    <mergeCell ref="B115:B116"/>
    <mergeCell ref="B89:B90"/>
    <mergeCell ref="B47:B48"/>
    <mergeCell ref="B145:B146"/>
    <mergeCell ref="B33:B34"/>
    <mergeCell ref="B135:B136"/>
    <mergeCell ref="B153:B154"/>
  </mergeCells>
  <printOptions horizontalCentered="1"/>
  <pageMargins left="0" right="0" top="0" bottom="0.78740157480314965" header="0" footer="0"/>
  <pageSetup paperSize="9" orientation="portrait" r:id="rId1"/>
  <headerFooter alignWithMargins="0">
    <oddFooter>&amp;L&amp;"B Nazanin,Regular"نماینده کارفرما :&amp;C&amp;"B Nazanin,Regular" نظارت :&amp;R&amp;"B Nazanin,Regular" پیمانکار:</oddFooter>
  </headerFooter>
  <rowBreaks count="3" manualBreakCount="3">
    <brk id="54" max="5" man="1"/>
    <brk id="102" max="5" man="1"/>
    <brk id="154"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674"/>
  <sheetViews>
    <sheetView rightToLeft="1" view="pageBreakPreview" zoomScale="115" zoomScaleNormal="100" zoomScaleSheetLayoutView="115" workbookViewId="0">
      <selection activeCell="H4" sqref="H4:I4"/>
    </sheetView>
  </sheetViews>
  <sheetFormatPr defaultColWidth="9.109375" defaultRowHeight="16.2"/>
  <cols>
    <col min="1" max="1" width="5.88671875" style="296" customWidth="1"/>
    <col min="2" max="2" width="30.44140625" style="296" customWidth="1"/>
    <col min="3" max="3" width="5.33203125" style="296" customWidth="1"/>
    <col min="4" max="4" width="6.109375" style="296" customWidth="1"/>
    <col min="5" max="5" width="5.33203125" style="296" customWidth="1"/>
    <col min="6" max="6" width="6" style="296" customWidth="1"/>
    <col min="7" max="7" width="9.44140625" style="296" customWidth="1"/>
    <col min="8" max="8" width="8.6640625" style="308" customWidth="1"/>
    <col min="9" max="9" width="23.88671875" style="296" customWidth="1"/>
    <col min="10" max="16384" width="9.109375" style="296"/>
  </cols>
  <sheetData>
    <row r="1" spans="1:9" ht="18.75" customHeight="1">
      <c r="A1" s="743" t="str">
        <f>اطلاعات!B15</f>
        <v>کارفرما : اداره کل نوسازی مدارس استان ....</v>
      </c>
      <c r="B1" s="744"/>
      <c r="C1" s="633" t="str">
        <f>اطلاعات!B14</f>
        <v>موضوع قرارداد : ساختمان اداره کل نوسازی مدارس...</v>
      </c>
      <c r="D1" s="633"/>
      <c r="E1" s="633"/>
      <c r="F1" s="633"/>
      <c r="G1" s="633"/>
      <c r="H1" s="747" t="str">
        <f>اطلاعات!B16</f>
        <v xml:space="preserve"> قرارداد شماره :  1232579/ر/1399</v>
      </c>
      <c r="I1" s="748"/>
    </row>
    <row r="2" spans="1:9" ht="18" customHeight="1">
      <c r="A2" s="745"/>
      <c r="B2" s="746"/>
      <c r="C2" s="634"/>
      <c r="D2" s="634"/>
      <c r="E2" s="634"/>
      <c r="F2" s="634"/>
      <c r="G2" s="634"/>
      <c r="H2" s="749"/>
      <c r="I2" s="750"/>
    </row>
    <row r="3" spans="1:9" ht="18" customHeight="1">
      <c r="A3" s="635" t="str">
        <f>اطلاعات!B18</f>
        <v>پیمانکار :  مهندسین پیمانکار ....</v>
      </c>
      <c r="B3" s="636"/>
      <c r="C3" s="634"/>
      <c r="D3" s="634"/>
      <c r="E3" s="634"/>
      <c r="F3" s="634"/>
      <c r="G3" s="634"/>
      <c r="H3" s="636" t="str">
        <f>اطلاعات!B5</f>
        <v>صورت وضعيت موقت شماره10</v>
      </c>
      <c r="I3" s="637"/>
    </row>
    <row r="4" spans="1:9" ht="18" customHeight="1">
      <c r="A4" s="739" t="str">
        <f>اطلاعات!$B$21</f>
        <v>فهرست بهای پیمان : برق 1399</v>
      </c>
      <c r="B4" s="740"/>
      <c r="C4" s="640" t="s">
        <v>125</v>
      </c>
      <c r="D4" s="640"/>
      <c r="E4" s="640"/>
      <c r="F4" s="640"/>
      <c r="G4" s="640"/>
      <c r="H4" s="636" t="str">
        <f>اطلاعات!B7</f>
        <v>دوره كاركرد از: 1399/06/19</v>
      </c>
      <c r="I4" s="637"/>
    </row>
    <row r="5" spans="1:9" ht="19.5" customHeight="1">
      <c r="A5" s="741"/>
      <c r="B5" s="742"/>
      <c r="C5" s="641"/>
      <c r="D5" s="641"/>
      <c r="E5" s="641"/>
      <c r="F5" s="641"/>
      <c r="G5" s="641"/>
      <c r="H5" s="638" t="str">
        <f>اطلاعات!B8</f>
        <v>لغايت : 1399/07/19</v>
      </c>
      <c r="I5" s="639"/>
    </row>
    <row r="6" spans="1:9" ht="15.75" customHeight="1">
      <c r="A6" s="642" t="s">
        <v>7</v>
      </c>
      <c r="B6" s="644" t="s">
        <v>14</v>
      </c>
      <c r="C6" s="644" t="s">
        <v>8</v>
      </c>
      <c r="D6" s="646" t="s">
        <v>27</v>
      </c>
      <c r="E6" s="647"/>
      <c r="F6" s="648"/>
      <c r="G6" s="649" t="s">
        <v>28</v>
      </c>
      <c r="H6" s="650"/>
      <c r="I6" s="651" t="s">
        <v>42</v>
      </c>
    </row>
    <row r="7" spans="1:9" ht="15.75" customHeight="1">
      <c r="A7" s="643"/>
      <c r="B7" s="645"/>
      <c r="C7" s="645"/>
      <c r="D7" s="297" t="s">
        <v>9</v>
      </c>
      <c r="E7" s="297" t="s">
        <v>10</v>
      </c>
      <c r="F7" s="297" t="s">
        <v>11</v>
      </c>
      <c r="G7" s="297" t="s">
        <v>29</v>
      </c>
      <c r="H7" s="298" t="s">
        <v>30</v>
      </c>
      <c r="I7" s="652"/>
    </row>
    <row r="8" spans="1:9" ht="12" customHeight="1">
      <c r="A8" s="586" t="s">
        <v>104</v>
      </c>
      <c r="B8" s="587"/>
      <c r="C8" s="587"/>
      <c r="D8" s="587"/>
      <c r="E8" s="587"/>
      <c r="F8" s="587"/>
      <c r="G8" s="587"/>
      <c r="H8" s="587"/>
      <c r="I8" s="588"/>
    </row>
    <row r="9" spans="1:9" ht="12" customHeight="1">
      <c r="A9" s="614" t="s">
        <v>3074</v>
      </c>
      <c r="B9" s="630" t="s">
        <v>3075</v>
      </c>
      <c r="C9" s="631"/>
      <c r="D9" s="631"/>
      <c r="E9" s="631"/>
      <c r="F9" s="631"/>
      <c r="G9" s="631"/>
      <c r="H9" s="631"/>
      <c r="I9" s="632"/>
    </row>
    <row r="10" spans="1:9" ht="9" customHeight="1">
      <c r="A10" s="615"/>
      <c r="B10" s="574" t="s">
        <v>3076</v>
      </c>
      <c r="C10" s="53"/>
      <c r="D10" s="250"/>
      <c r="E10" s="54"/>
      <c r="F10" s="53"/>
      <c r="G10" s="559">
        <v>200</v>
      </c>
      <c r="H10" s="561"/>
      <c r="I10" s="563" t="s">
        <v>65</v>
      </c>
    </row>
    <row r="11" spans="1:9" ht="9" customHeight="1">
      <c r="A11" s="615"/>
      <c r="B11" s="575"/>
      <c r="C11" s="54"/>
      <c r="D11" s="54"/>
      <c r="E11" s="54"/>
      <c r="F11" s="54"/>
      <c r="G11" s="560"/>
      <c r="H11" s="562"/>
      <c r="I11" s="564"/>
    </row>
    <row r="12" spans="1:9" ht="12" customHeight="1">
      <c r="A12" s="616"/>
      <c r="B12" s="565" t="s">
        <v>33</v>
      </c>
      <c r="C12" s="566"/>
      <c r="D12" s="566"/>
      <c r="E12" s="567"/>
      <c r="F12" s="299" t="str">
        <f>A9</f>
        <v>020105*</v>
      </c>
      <c r="G12" s="406">
        <f>SUM(G10:G11)</f>
        <v>200</v>
      </c>
      <c r="H12" s="407">
        <f>SUM(H10:H11)</f>
        <v>0</v>
      </c>
      <c r="I12" s="302" t="s">
        <v>3077</v>
      </c>
    </row>
    <row r="13" spans="1:9" ht="12" customHeight="1">
      <c r="A13" s="614" t="s">
        <v>1780</v>
      </c>
      <c r="B13" s="630" t="s">
        <v>3080</v>
      </c>
      <c r="C13" s="631"/>
      <c r="D13" s="631"/>
      <c r="E13" s="631"/>
      <c r="F13" s="631"/>
      <c r="G13" s="631"/>
      <c r="H13" s="631"/>
      <c r="I13" s="632"/>
    </row>
    <row r="14" spans="1:9" ht="9" customHeight="1">
      <c r="A14" s="615"/>
      <c r="B14" s="584" t="s">
        <v>183</v>
      </c>
      <c r="C14" s="53">
        <v>35</v>
      </c>
      <c r="D14" s="250" t="s">
        <v>1779</v>
      </c>
      <c r="E14" s="54"/>
      <c r="F14" s="53">
        <v>0.96</v>
      </c>
      <c r="G14" s="559">
        <f>F14*D14*C14</f>
        <v>73.92</v>
      </c>
      <c r="H14" s="561"/>
      <c r="I14" s="563" t="s">
        <v>65</v>
      </c>
    </row>
    <row r="15" spans="1:9" ht="9" customHeight="1">
      <c r="A15" s="615"/>
      <c r="B15" s="585"/>
      <c r="C15" s="54"/>
      <c r="D15" s="54"/>
      <c r="E15" s="54"/>
      <c r="F15" s="54"/>
      <c r="G15" s="560"/>
      <c r="H15" s="562"/>
      <c r="I15" s="564"/>
    </row>
    <row r="16" spans="1:9" ht="9" customHeight="1">
      <c r="A16" s="615"/>
      <c r="B16" s="584" t="s">
        <v>3078</v>
      </c>
      <c r="C16" s="53">
        <v>3</v>
      </c>
      <c r="D16" s="250" t="s">
        <v>3079</v>
      </c>
      <c r="E16" s="54"/>
      <c r="F16" s="53">
        <v>0.96</v>
      </c>
      <c r="G16" s="559">
        <f>F16*D16*C16</f>
        <v>23.04</v>
      </c>
      <c r="H16" s="561"/>
      <c r="I16" s="563" t="s">
        <v>65</v>
      </c>
    </row>
    <row r="17" spans="1:9" ht="9" customHeight="1">
      <c r="A17" s="615"/>
      <c r="B17" s="585"/>
      <c r="C17" s="54"/>
      <c r="D17" s="54"/>
      <c r="E17" s="54"/>
      <c r="F17" s="54"/>
      <c r="G17" s="560"/>
      <c r="H17" s="562"/>
      <c r="I17" s="564"/>
    </row>
    <row r="18" spans="1:9" ht="12" customHeight="1">
      <c r="A18" s="616"/>
      <c r="B18" s="565" t="s">
        <v>33</v>
      </c>
      <c r="C18" s="566"/>
      <c r="D18" s="566"/>
      <c r="E18" s="567"/>
      <c r="F18" s="299" t="str">
        <f>A13</f>
        <v>020303*</v>
      </c>
      <c r="G18" s="300">
        <f>SUM(G14:G17)</f>
        <v>96.960000000000008</v>
      </c>
      <c r="H18" s="301">
        <f>SUM(H14:H15)</f>
        <v>0</v>
      </c>
      <c r="I18" s="302" t="s">
        <v>43</v>
      </c>
    </row>
    <row r="19" spans="1:9" ht="12" customHeight="1">
      <c r="A19" s="614" t="s">
        <v>107</v>
      </c>
      <c r="B19" s="581" t="str">
        <f>IF(A19="","",VLOOKUP(A19,'ابنیه 95'!$A:$E,2,FALSE))</f>
        <v>بارگيري مواد حاصله از هر نوع عمليات خاكي، غير لجني، و حمل با هر نوع وسيله دستي تا50 متر و تخليه آن در مواردي كه استفاده از ماشين براي حمل ممكن نباشد.</v>
      </c>
      <c r="C19" s="582"/>
      <c r="D19" s="582"/>
      <c r="E19" s="582"/>
      <c r="F19" s="582"/>
      <c r="G19" s="582"/>
      <c r="H19" s="582"/>
      <c r="I19" s="583"/>
    </row>
    <row r="20" spans="1:9" ht="9" customHeight="1">
      <c r="A20" s="615"/>
      <c r="B20" s="584" t="s">
        <v>187</v>
      </c>
      <c r="C20" s="275"/>
      <c r="D20" s="275"/>
      <c r="E20" s="292"/>
      <c r="F20" s="275"/>
      <c r="G20" s="559">
        <f>G18</f>
        <v>96.960000000000008</v>
      </c>
      <c r="H20" s="561"/>
      <c r="I20" s="563" t="s">
        <v>65</v>
      </c>
    </row>
    <row r="21" spans="1:9" ht="9" customHeight="1">
      <c r="A21" s="615"/>
      <c r="B21" s="585"/>
      <c r="C21" s="54"/>
      <c r="D21" s="54"/>
      <c r="E21" s="54"/>
      <c r="F21" s="54"/>
      <c r="G21" s="560"/>
      <c r="H21" s="562"/>
      <c r="I21" s="564"/>
    </row>
    <row r="22" spans="1:9" ht="12" customHeight="1">
      <c r="A22" s="616"/>
      <c r="B22" s="565" t="s">
        <v>33</v>
      </c>
      <c r="C22" s="566"/>
      <c r="D22" s="566"/>
      <c r="E22" s="567"/>
      <c r="F22" s="299" t="str">
        <f>A19</f>
        <v>020401</v>
      </c>
      <c r="G22" s="300">
        <f>SUM(G20:G21)</f>
        <v>96.960000000000008</v>
      </c>
      <c r="H22" s="301">
        <f>SUM(H20:H21)</f>
        <v>0</v>
      </c>
      <c r="I22" s="302" t="str">
        <f>IF(F22="","",VLOOKUP(F22,'ابنیه 95'!$A:$E,3,FALSE))</f>
        <v>مترمکعب</v>
      </c>
    </row>
    <row r="23" spans="1:9" ht="12" customHeight="1">
      <c r="A23" s="614" t="s">
        <v>400</v>
      </c>
      <c r="B23" s="617" t="str">
        <f>IF(A23="","",VLOOKUP(A23,'ابنیه 95'!$A:$E,2,FALSE))</f>
        <v>اضافه بها به رديف‌هاي 020101 و020401، براي 50 متر حمل اضافي با وسايل دستي، كسر50 متر به تناسب محاسبه مي‌شود.</v>
      </c>
      <c r="C23" s="618"/>
      <c r="D23" s="618"/>
      <c r="E23" s="618"/>
      <c r="F23" s="618"/>
      <c r="G23" s="618"/>
      <c r="H23" s="618"/>
      <c r="I23" s="619"/>
    </row>
    <row r="24" spans="1:9" ht="9" customHeight="1">
      <c r="A24" s="615"/>
      <c r="B24" s="584" t="s">
        <v>187</v>
      </c>
      <c r="C24" s="275"/>
      <c r="D24" s="275"/>
      <c r="E24" s="292"/>
      <c r="F24" s="275"/>
      <c r="G24" s="559">
        <f>G22+G52</f>
        <v>96.960000000000008</v>
      </c>
      <c r="H24" s="561"/>
      <c r="I24" s="563" t="s">
        <v>65</v>
      </c>
    </row>
    <row r="25" spans="1:9" ht="9" customHeight="1">
      <c r="A25" s="615"/>
      <c r="B25" s="585"/>
      <c r="C25" s="54"/>
      <c r="D25" s="54"/>
      <c r="E25" s="54"/>
      <c r="F25" s="54"/>
      <c r="G25" s="560"/>
      <c r="H25" s="562"/>
      <c r="I25" s="564"/>
    </row>
    <row r="26" spans="1:9" ht="12" customHeight="1">
      <c r="A26" s="616"/>
      <c r="B26" s="565" t="s">
        <v>33</v>
      </c>
      <c r="C26" s="566"/>
      <c r="D26" s="566"/>
      <c r="E26" s="567"/>
      <c r="F26" s="299" t="str">
        <f>A23</f>
        <v>020402</v>
      </c>
      <c r="G26" s="300">
        <f>SUM(G24:G25)</f>
        <v>96.960000000000008</v>
      </c>
      <c r="H26" s="301">
        <f>SUM(H24:H25)</f>
        <v>0</v>
      </c>
      <c r="I26" s="302" t="str">
        <f>IF(F26="","",VLOOKUP(F26,'ابنیه 95'!$A:$E,3,FALSE))</f>
        <v>مترمکعب</v>
      </c>
    </row>
    <row r="27" spans="1:9" ht="12" customHeight="1">
      <c r="A27" s="614" t="s">
        <v>145</v>
      </c>
      <c r="B27" s="617" t="str">
        <f>IF(A27="","",VLOOKUP(A27,'ابنیه 95'!$A:$E,2,FALSE))</f>
        <v>تسطيح و رگلاژ سطوح خاكريزي و خاكبرداري پي‌ها، گودها و كانال‌ها كه با ماشين انجام شده باشد.</v>
      </c>
      <c r="C27" s="618"/>
      <c r="D27" s="618"/>
      <c r="E27" s="618"/>
      <c r="F27" s="618"/>
      <c r="G27" s="618"/>
      <c r="H27" s="618"/>
      <c r="I27" s="619"/>
    </row>
    <row r="28" spans="1:9" ht="9" customHeight="1">
      <c r="A28" s="615"/>
      <c r="B28" s="584" t="s">
        <v>1790</v>
      </c>
      <c r="C28" s="275"/>
      <c r="D28" s="275"/>
      <c r="E28" s="292"/>
      <c r="F28" s="275"/>
      <c r="G28" s="559">
        <v>2084.17</v>
      </c>
      <c r="H28" s="561"/>
      <c r="I28" s="563" t="s">
        <v>1789</v>
      </c>
    </row>
    <row r="29" spans="1:9" ht="9" customHeight="1">
      <c r="A29" s="615"/>
      <c r="B29" s="585"/>
      <c r="C29" s="54"/>
      <c r="D29" s="54"/>
      <c r="E29" s="54"/>
      <c r="F29" s="54"/>
      <c r="G29" s="560"/>
      <c r="H29" s="562"/>
      <c r="I29" s="564"/>
    </row>
    <row r="30" spans="1:9" ht="12" customHeight="1">
      <c r="A30" s="616"/>
      <c r="B30" s="565" t="s">
        <v>33</v>
      </c>
      <c r="C30" s="566"/>
      <c r="D30" s="566"/>
      <c r="E30" s="567"/>
      <c r="F30" s="299" t="str">
        <f>A27</f>
        <v>020501</v>
      </c>
      <c r="G30" s="300">
        <f>SUM(G28:G29)</f>
        <v>2084.17</v>
      </c>
      <c r="H30" s="301">
        <f>SUM(H28:H29)</f>
        <v>0</v>
      </c>
      <c r="I30" s="302" t="str">
        <f>IF(F30="","",VLOOKUP(F30,'ابنیه 95'!$A:$E,3,FALSE))</f>
        <v>مترمربع</v>
      </c>
    </row>
    <row r="31" spans="1:9" ht="12" customHeight="1">
      <c r="A31" s="614" t="s">
        <v>207</v>
      </c>
      <c r="B31" s="581" t="str">
        <f>IF(A31="","",VLOOKUP(A31,'ابنیه 95'!$A:$E,2,FALSE))</f>
        <v>ريختن خاك‌ها يا مصالح سنگي موجود در كنار پي‌ها، گودها و كانال‌ها، به‌درون پي‌ها، گودها و كانال‌ها در قشرهاي حداكثر 15 سانتي‌متر در هر عمق و پخش و تسطيح لازم.</v>
      </c>
      <c r="C31" s="582"/>
      <c r="D31" s="582"/>
      <c r="E31" s="582"/>
      <c r="F31" s="582"/>
      <c r="G31" s="582"/>
      <c r="H31" s="582"/>
      <c r="I31" s="583"/>
    </row>
    <row r="32" spans="1:9" ht="9" customHeight="1">
      <c r="A32" s="615"/>
      <c r="B32" s="584" t="s">
        <v>3051</v>
      </c>
      <c r="C32" s="275"/>
      <c r="D32" s="275"/>
      <c r="E32" s="292"/>
      <c r="F32" s="275"/>
      <c r="G32" s="559">
        <v>87.8</v>
      </c>
      <c r="H32" s="561"/>
      <c r="I32" s="563" t="s">
        <v>65</v>
      </c>
    </row>
    <row r="33" spans="1:9" ht="9" customHeight="1">
      <c r="A33" s="615"/>
      <c r="B33" s="585"/>
      <c r="C33" s="54"/>
      <c r="D33" s="54"/>
      <c r="E33" s="54"/>
      <c r="F33" s="54"/>
      <c r="G33" s="560"/>
      <c r="H33" s="562"/>
      <c r="I33" s="564"/>
    </row>
    <row r="34" spans="1:9" ht="9" customHeight="1">
      <c r="A34" s="615"/>
      <c r="B34" s="584" t="s">
        <v>3052</v>
      </c>
      <c r="C34" s="275"/>
      <c r="D34" s="275"/>
      <c r="E34" s="292"/>
      <c r="F34" s="275"/>
      <c r="G34" s="559">
        <v>466.63</v>
      </c>
      <c r="H34" s="561"/>
      <c r="I34" s="563" t="s">
        <v>65</v>
      </c>
    </row>
    <row r="35" spans="1:9" ht="9" customHeight="1">
      <c r="A35" s="615"/>
      <c r="B35" s="585"/>
      <c r="C35" s="54"/>
      <c r="D35" s="54"/>
      <c r="E35" s="54"/>
      <c r="F35" s="54"/>
      <c r="G35" s="560"/>
      <c r="H35" s="562"/>
      <c r="I35" s="564"/>
    </row>
    <row r="36" spans="1:9" ht="9" customHeight="1">
      <c r="A36" s="615"/>
      <c r="B36" s="584" t="s">
        <v>3053</v>
      </c>
      <c r="C36" s="275"/>
      <c r="D36" s="275"/>
      <c r="E36" s="292"/>
      <c r="F36" s="275"/>
      <c r="G36" s="559">
        <v>361.86</v>
      </c>
      <c r="H36" s="561"/>
      <c r="I36" s="563" t="s">
        <v>65</v>
      </c>
    </row>
    <row r="37" spans="1:9" ht="9" customHeight="1">
      <c r="A37" s="615"/>
      <c r="B37" s="585"/>
      <c r="C37" s="54"/>
      <c r="D37" s="54"/>
      <c r="E37" s="54"/>
      <c r="F37" s="54"/>
      <c r="G37" s="560"/>
      <c r="H37" s="562"/>
      <c r="I37" s="564"/>
    </row>
    <row r="38" spans="1:9" ht="9" customHeight="1">
      <c r="A38" s="615"/>
      <c r="B38" s="584" t="s">
        <v>3054</v>
      </c>
      <c r="C38" s="275"/>
      <c r="D38" s="275"/>
      <c r="E38" s="292"/>
      <c r="F38" s="275"/>
      <c r="G38" s="559">
        <v>626.66</v>
      </c>
      <c r="H38" s="561"/>
      <c r="I38" s="563" t="s">
        <v>65</v>
      </c>
    </row>
    <row r="39" spans="1:9" ht="9" customHeight="1">
      <c r="A39" s="615"/>
      <c r="B39" s="585"/>
      <c r="C39" s="54"/>
      <c r="D39" s="54"/>
      <c r="E39" s="54"/>
      <c r="F39" s="54"/>
      <c r="G39" s="560"/>
      <c r="H39" s="562"/>
      <c r="I39" s="564"/>
    </row>
    <row r="40" spans="1:9" ht="9" customHeight="1">
      <c r="A40" s="615"/>
      <c r="B40" s="584" t="s">
        <v>3055</v>
      </c>
      <c r="C40" s="275"/>
      <c r="D40" s="275"/>
      <c r="E40" s="292"/>
      <c r="F40" s="275"/>
      <c r="G40" s="559">
        <v>114.95</v>
      </c>
      <c r="H40" s="561"/>
      <c r="I40" s="563" t="s">
        <v>65</v>
      </c>
    </row>
    <row r="41" spans="1:9" ht="9" customHeight="1">
      <c r="A41" s="615"/>
      <c r="B41" s="585"/>
      <c r="C41" s="54"/>
      <c r="D41" s="54"/>
      <c r="E41" s="54"/>
      <c r="F41" s="54"/>
      <c r="G41" s="560"/>
      <c r="H41" s="562"/>
      <c r="I41" s="564"/>
    </row>
    <row r="42" spans="1:9" ht="9" customHeight="1">
      <c r="A42" s="615"/>
      <c r="B42" s="584" t="s">
        <v>3056</v>
      </c>
      <c r="C42" s="275"/>
      <c r="D42" s="275"/>
      <c r="E42" s="292"/>
      <c r="F42" s="275"/>
      <c r="G42" s="559">
        <v>146.02000000000001</v>
      </c>
      <c r="H42" s="561"/>
      <c r="I42" s="563" t="s">
        <v>65</v>
      </c>
    </row>
    <row r="43" spans="1:9" ht="9" customHeight="1">
      <c r="A43" s="615"/>
      <c r="B43" s="585"/>
      <c r="C43" s="54"/>
      <c r="D43" s="54"/>
      <c r="E43" s="54"/>
      <c r="F43" s="54"/>
      <c r="G43" s="560"/>
      <c r="H43" s="562"/>
      <c r="I43" s="564"/>
    </row>
    <row r="44" spans="1:9" ht="9" customHeight="1">
      <c r="A44" s="615"/>
      <c r="B44" s="584" t="s">
        <v>3057</v>
      </c>
      <c r="C44" s="394"/>
      <c r="D44" s="394"/>
      <c r="E44" s="395"/>
      <c r="F44" s="394"/>
      <c r="G44" s="559">
        <v>239.02</v>
      </c>
      <c r="H44" s="561"/>
      <c r="I44" s="563" t="s">
        <v>65</v>
      </c>
    </row>
    <row r="45" spans="1:9" ht="9" customHeight="1">
      <c r="A45" s="615"/>
      <c r="B45" s="585"/>
      <c r="C45" s="54"/>
      <c r="D45" s="54"/>
      <c r="E45" s="54"/>
      <c r="F45" s="54"/>
      <c r="G45" s="560"/>
      <c r="H45" s="562"/>
      <c r="I45" s="564"/>
    </row>
    <row r="46" spans="1:9" ht="9" customHeight="1">
      <c r="A46" s="615"/>
      <c r="B46" s="584" t="s">
        <v>3058</v>
      </c>
      <c r="C46" s="394"/>
      <c r="D46" s="394"/>
      <c r="E46" s="395"/>
      <c r="F46" s="394"/>
      <c r="G46" s="559">
        <v>349.81</v>
      </c>
      <c r="H46" s="561"/>
      <c r="I46" s="563" t="s">
        <v>65</v>
      </c>
    </row>
    <row r="47" spans="1:9" ht="9" customHeight="1">
      <c r="A47" s="615"/>
      <c r="B47" s="585"/>
      <c r="C47" s="54"/>
      <c r="D47" s="54"/>
      <c r="E47" s="54"/>
      <c r="F47" s="54"/>
      <c r="G47" s="560"/>
      <c r="H47" s="562"/>
      <c r="I47" s="564"/>
    </row>
    <row r="48" spans="1:9" ht="12" customHeight="1">
      <c r="A48" s="616"/>
      <c r="B48" s="565" t="s">
        <v>33</v>
      </c>
      <c r="C48" s="566"/>
      <c r="D48" s="566"/>
      <c r="E48" s="567"/>
      <c r="F48" s="299" t="str">
        <f>A31</f>
        <v>020504</v>
      </c>
      <c r="G48" s="300">
        <f>SUM(G32:G47)</f>
        <v>2392.75</v>
      </c>
      <c r="H48" s="301">
        <f>SUM(H32:H33)</f>
        <v>0</v>
      </c>
      <c r="I48" s="302" t="str">
        <f>IF(F48="","",VLOOKUP(F48,'ابنیه 95'!$A:$E,3,FALSE))</f>
        <v>مترمکعب</v>
      </c>
    </row>
    <row r="49" spans="1:9" ht="12" customHeight="1">
      <c r="A49" s="586" t="s">
        <v>31</v>
      </c>
      <c r="B49" s="587"/>
      <c r="C49" s="587"/>
      <c r="D49" s="587"/>
      <c r="E49" s="587"/>
      <c r="F49" s="587"/>
      <c r="G49" s="587"/>
      <c r="H49" s="587"/>
      <c r="I49" s="588"/>
    </row>
    <row r="50" spans="1:9" ht="12" customHeight="1">
      <c r="A50" s="614" t="s">
        <v>99</v>
      </c>
      <c r="B50" s="617" t="str">
        <f>IF(A50="","",VLOOKUP(A50,'ابنیه 95'!$A:$E,2,FALSE))</f>
        <v>پي‌كني، كانال‌كني با وسيله مكانيكي در زمين‌هاي سخت، تاعمق 2 متر و ريختن خاك كنده شده در كنارمحل‌هاي مربوط.</v>
      </c>
      <c r="C50" s="618"/>
      <c r="D50" s="618"/>
      <c r="E50" s="618"/>
      <c r="F50" s="618"/>
      <c r="G50" s="618"/>
      <c r="H50" s="618"/>
      <c r="I50" s="619"/>
    </row>
    <row r="51" spans="1:9" ht="12" customHeight="1">
      <c r="A51" s="615"/>
      <c r="B51" s="557" t="s">
        <v>1757</v>
      </c>
      <c r="C51" s="58"/>
      <c r="D51" s="53">
        <v>89.38</v>
      </c>
      <c r="E51" s="54"/>
      <c r="F51" s="58">
        <v>1.2</v>
      </c>
      <c r="G51" s="610">
        <f>F51*D51</f>
        <v>107.25599999999999</v>
      </c>
      <c r="H51" s="624"/>
      <c r="I51" s="563" t="s">
        <v>65</v>
      </c>
    </row>
    <row r="52" spans="1:9" ht="12" customHeight="1">
      <c r="A52" s="615"/>
      <c r="B52" s="558"/>
      <c r="C52" s="54"/>
      <c r="D52" s="54"/>
      <c r="E52" s="54"/>
      <c r="F52" s="54"/>
      <c r="G52" s="560"/>
      <c r="H52" s="562"/>
      <c r="I52" s="564"/>
    </row>
    <row r="53" spans="1:9" ht="12" customHeight="1">
      <c r="A53" s="615"/>
      <c r="B53" s="557" t="s">
        <v>1758</v>
      </c>
      <c r="C53" s="58"/>
      <c r="D53" s="53">
        <v>388.23</v>
      </c>
      <c r="E53" s="54"/>
      <c r="F53" s="58">
        <v>1.2</v>
      </c>
      <c r="G53" s="610">
        <f>F53*D53</f>
        <v>465.87599999999998</v>
      </c>
      <c r="H53" s="624"/>
      <c r="I53" s="563" t="s">
        <v>65</v>
      </c>
    </row>
    <row r="54" spans="1:9" ht="12" customHeight="1">
      <c r="A54" s="615"/>
      <c r="B54" s="558"/>
      <c r="C54" s="54"/>
      <c r="D54" s="54"/>
      <c r="E54" s="54"/>
      <c r="F54" s="54"/>
      <c r="G54" s="560"/>
      <c r="H54" s="562"/>
      <c r="I54" s="564"/>
    </row>
    <row r="55" spans="1:9" ht="12" customHeight="1">
      <c r="A55" s="615"/>
      <c r="B55" s="557" t="s">
        <v>1759</v>
      </c>
      <c r="C55" s="58"/>
      <c r="D55" s="53">
        <v>404.01</v>
      </c>
      <c r="E55" s="54"/>
      <c r="F55" s="58">
        <v>1.2</v>
      </c>
      <c r="G55" s="610">
        <f>F55*D55</f>
        <v>484.81199999999995</v>
      </c>
      <c r="H55" s="624"/>
      <c r="I55" s="563" t="s">
        <v>65</v>
      </c>
    </row>
    <row r="56" spans="1:9" ht="12" customHeight="1">
      <c r="A56" s="615"/>
      <c r="B56" s="558"/>
      <c r="C56" s="54"/>
      <c r="D56" s="54"/>
      <c r="E56" s="54"/>
      <c r="F56" s="54"/>
      <c r="G56" s="560"/>
      <c r="H56" s="562"/>
      <c r="I56" s="564"/>
    </row>
    <row r="57" spans="1:9" ht="12" customHeight="1">
      <c r="A57" s="615"/>
      <c r="B57" s="557" t="s">
        <v>1760</v>
      </c>
      <c r="C57" s="58"/>
      <c r="D57" s="53">
        <v>119.85</v>
      </c>
      <c r="E57" s="54"/>
      <c r="F57" s="58">
        <v>0.4</v>
      </c>
      <c r="G57" s="610">
        <f>F57*D57</f>
        <v>47.94</v>
      </c>
      <c r="H57" s="624"/>
      <c r="I57" s="563" t="s">
        <v>65</v>
      </c>
    </row>
    <row r="58" spans="1:9" ht="12" customHeight="1">
      <c r="A58" s="615"/>
      <c r="B58" s="558"/>
      <c r="C58" s="54"/>
      <c r="D58" s="54"/>
      <c r="E58" s="54"/>
      <c r="F58" s="54"/>
      <c r="G58" s="560"/>
      <c r="H58" s="562"/>
      <c r="I58" s="564"/>
    </row>
    <row r="59" spans="1:9" ht="12" customHeight="1">
      <c r="A59" s="615"/>
      <c r="B59" s="557" t="s">
        <v>1761</v>
      </c>
      <c r="C59" s="58"/>
      <c r="D59" s="53">
        <v>577.9</v>
      </c>
      <c r="E59" s="54"/>
      <c r="F59" s="58">
        <v>1.2</v>
      </c>
      <c r="G59" s="610">
        <f>F59*D59</f>
        <v>693.4799999999999</v>
      </c>
      <c r="H59" s="624"/>
      <c r="I59" s="563" t="s">
        <v>65</v>
      </c>
    </row>
    <row r="60" spans="1:9" ht="12" customHeight="1">
      <c r="A60" s="615"/>
      <c r="B60" s="558"/>
      <c r="C60" s="54"/>
      <c r="D60" s="54"/>
      <c r="E60" s="54"/>
      <c r="F60" s="54"/>
      <c r="G60" s="560"/>
      <c r="H60" s="562"/>
      <c r="I60" s="564"/>
    </row>
    <row r="61" spans="1:9" ht="12" customHeight="1">
      <c r="A61" s="615"/>
      <c r="B61" s="557" t="s">
        <v>1762</v>
      </c>
      <c r="C61" s="58"/>
      <c r="D61" s="53">
        <v>461.18</v>
      </c>
      <c r="E61" s="54"/>
      <c r="F61" s="58">
        <v>1.2</v>
      </c>
      <c r="G61" s="610">
        <f>F61*D61</f>
        <v>553.41599999999994</v>
      </c>
      <c r="H61" s="624"/>
      <c r="I61" s="563" t="s">
        <v>65</v>
      </c>
    </row>
    <row r="62" spans="1:9" ht="12" customHeight="1">
      <c r="A62" s="615"/>
      <c r="B62" s="558"/>
      <c r="C62" s="54"/>
      <c r="D62" s="54"/>
      <c r="E62" s="54"/>
      <c r="F62" s="54"/>
      <c r="G62" s="560"/>
      <c r="H62" s="562"/>
      <c r="I62" s="564"/>
    </row>
    <row r="63" spans="1:9" ht="12" customHeight="1">
      <c r="A63" s="615"/>
      <c r="B63" s="557" t="s">
        <v>1763</v>
      </c>
      <c r="C63" s="58"/>
      <c r="D63" s="53">
        <v>74.17</v>
      </c>
      <c r="E63" s="54"/>
      <c r="F63" s="58">
        <v>1.2</v>
      </c>
      <c r="G63" s="610">
        <f>F63*D63</f>
        <v>89.004000000000005</v>
      </c>
      <c r="H63" s="624"/>
      <c r="I63" s="563" t="s">
        <v>65</v>
      </c>
    </row>
    <row r="64" spans="1:9" ht="12" customHeight="1">
      <c r="A64" s="615"/>
      <c r="B64" s="558"/>
      <c r="C64" s="54"/>
      <c r="D64" s="54"/>
      <c r="E64" s="54"/>
      <c r="F64" s="54"/>
      <c r="G64" s="560"/>
      <c r="H64" s="562"/>
      <c r="I64" s="564"/>
    </row>
    <row r="65" spans="1:9" ht="12" customHeight="1">
      <c r="A65" s="615"/>
      <c r="B65" s="557" t="s">
        <v>1764</v>
      </c>
      <c r="C65" s="58"/>
      <c r="D65" s="53">
        <v>726.88</v>
      </c>
      <c r="E65" s="54"/>
      <c r="F65" s="58">
        <v>1.2</v>
      </c>
      <c r="G65" s="610">
        <f>F65*D65</f>
        <v>872.25599999999997</v>
      </c>
      <c r="H65" s="624"/>
      <c r="I65" s="563" t="s">
        <v>65</v>
      </c>
    </row>
    <row r="66" spans="1:9" ht="12" customHeight="1">
      <c r="A66" s="615"/>
      <c r="B66" s="558"/>
      <c r="C66" s="54"/>
      <c r="D66" s="54"/>
      <c r="E66" s="54"/>
      <c r="F66" s="54"/>
      <c r="G66" s="560"/>
      <c r="H66" s="562"/>
      <c r="I66" s="564"/>
    </row>
    <row r="67" spans="1:9" ht="12" customHeight="1">
      <c r="A67" s="615"/>
      <c r="B67" s="557" t="s">
        <v>1765</v>
      </c>
      <c r="C67" s="58"/>
      <c r="D67" s="53">
        <v>152.09</v>
      </c>
      <c r="E67" s="54"/>
      <c r="F67" s="58">
        <v>1.2</v>
      </c>
      <c r="G67" s="610">
        <f>F67*D67</f>
        <v>182.50800000000001</v>
      </c>
      <c r="H67" s="624"/>
      <c r="I67" s="563" t="s">
        <v>65</v>
      </c>
    </row>
    <row r="68" spans="1:9" ht="12" customHeight="1">
      <c r="A68" s="615"/>
      <c r="B68" s="558"/>
      <c r="C68" s="54"/>
      <c r="D68" s="54"/>
      <c r="E68" s="54"/>
      <c r="F68" s="54"/>
      <c r="G68" s="560"/>
      <c r="H68" s="562"/>
      <c r="I68" s="564"/>
    </row>
    <row r="69" spans="1:9" ht="12" customHeight="1">
      <c r="A69" s="616"/>
      <c r="B69" s="565" t="s">
        <v>33</v>
      </c>
      <c r="C69" s="566"/>
      <c r="D69" s="566"/>
      <c r="E69" s="567"/>
      <c r="F69" s="299" t="str">
        <f>A50</f>
        <v>030502</v>
      </c>
      <c r="G69" s="300">
        <f>SUM(G51:G68)</f>
        <v>3496.5479999999993</v>
      </c>
      <c r="H69" s="301">
        <f>SUM(H51:H52)</f>
        <v>0</v>
      </c>
      <c r="I69" s="302" t="str">
        <f>IF(F69="","",VLOOKUP(F69,'ابنیه 95'!$A:$E,3,FALSE))</f>
        <v>مترمکعب</v>
      </c>
    </row>
    <row r="70" spans="1:9" ht="12" customHeight="1">
      <c r="A70" s="614" t="s">
        <v>100</v>
      </c>
      <c r="B70" s="617" t="str">
        <f>IF(A70="","",VLOOKUP(A70,'ابنیه 95'!$A:$E,2,FALSE))</f>
        <v>پي‌كني، كانال‌كني با چکش هيدروليکي در زمين‌هاي سنگي تا عمق 2 متر و حمل و تخليه مواد كنده شده تا فاصله 20 متر از مركز ثقل برداشت.</v>
      </c>
      <c r="C70" s="618"/>
      <c r="D70" s="618"/>
      <c r="E70" s="618"/>
      <c r="F70" s="618"/>
      <c r="G70" s="618"/>
      <c r="H70" s="618"/>
      <c r="I70" s="619"/>
    </row>
    <row r="71" spans="1:9" ht="12" customHeight="1">
      <c r="A71" s="615"/>
      <c r="B71" s="557" t="s">
        <v>1757</v>
      </c>
      <c r="C71" s="58"/>
      <c r="D71" s="53">
        <v>89.59</v>
      </c>
      <c r="E71" s="54"/>
      <c r="F71" s="58">
        <v>3</v>
      </c>
      <c r="G71" s="610">
        <f>F71*D71</f>
        <v>268.77</v>
      </c>
      <c r="H71" s="624"/>
      <c r="I71" s="563" t="s">
        <v>65</v>
      </c>
    </row>
    <row r="72" spans="1:9" ht="12" customHeight="1">
      <c r="A72" s="615"/>
      <c r="B72" s="558"/>
      <c r="C72" s="54"/>
      <c r="D72" s="54"/>
      <c r="E72" s="54"/>
      <c r="F72" s="54"/>
      <c r="G72" s="560"/>
      <c r="H72" s="562"/>
      <c r="I72" s="564"/>
    </row>
    <row r="73" spans="1:9" ht="12" customHeight="1">
      <c r="A73" s="615"/>
      <c r="B73" s="557" t="s">
        <v>1758</v>
      </c>
      <c r="C73" s="58"/>
      <c r="D73" s="53">
        <v>388.23</v>
      </c>
      <c r="E73" s="54"/>
      <c r="F73" s="58">
        <v>3</v>
      </c>
      <c r="G73" s="610">
        <f>F73*D73</f>
        <v>1164.69</v>
      </c>
      <c r="H73" s="624"/>
      <c r="I73" s="563" t="s">
        <v>65</v>
      </c>
    </row>
    <row r="74" spans="1:9" ht="12" customHeight="1">
      <c r="A74" s="615"/>
      <c r="B74" s="558"/>
      <c r="C74" s="54"/>
      <c r="D74" s="54"/>
      <c r="E74" s="54"/>
      <c r="F74" s="54"/>
      <c r="G74" s="560"/>
      <c r="H74" s="562"/>
      <c r="I74" s="564"/>
    </row>
    <row r="75" spans="1:9" ht="12" customHeight="1">
      <c r="A75" s="615"/>
      <c r="B75" s="557" t="s">
        <v>1759</v>
      </c>
      <c r="C75" s="58"/>
      <c r="D75" s="53">
        <v>404.07</v>
      </c>
      <c r="E75" s="54"/>
      <c r="F75" s="58">
        <v>3</v>
      </c>
      <c r="G75" s="610">
        <f>F75*D75</f>
        <v>1212.21</v>
      </c>
      <c r="H75" s="624"/>
      <c r="I75" s="563" t="s">
        <v>65</v>
      </c>
    </row>
    <row r="76" spans="1:9" ht="12" customHeight="1">
      <c r="A76" s="615"/>
      <c r="B76" s="558"/>
      <c r="C76" s="54"/>
      <c r="D76" s="54"/>
      <c r="E76" s="54"/>
      <c r="F76" s="54"/>
      <c r="G76" s="560"/>
      <c r="H76" s="562"/>
      <c r="I76" s="564"/>
    </row>
    <row r="77" spans="1:9" ht="12" customHeight="1">
      <c r="A77" s="615"/>
      <c r="B77" s="557" t="s">
        <v>1760</v>
      </c>
      <c r="C77" s="58"/>
      <c r="D77" s="53">
        <v>119.83</v>
      </c>
      <c r="E77" s="54"/>
      <c r="F77" s="58">
        <v>3.7</v>
      </c>
      <c r="G77" s="610">
        <f>F77*D77</f>
        <v>443.37100000000004</v>
      </c>
      <c r="H77" s="624"/>
      <c r="I77" s="563" t="s">
        <v>65</v>
      </c>
    </row>
    <row r="78" spans="1:9" ht="12" customHeight="1">
      <c r="A78" s="615"/>
      <c r="B78" s="558"/>
      <c r="C78" s="54"/>
      <c r="D78" s="54"/>
      <c r="E78" s="54"/>
      <c r="F78" s="54"/>
      <c r="G78" s="560"/>
      <c r="H78" s="562"/>
      <c r="I78" s="564"/>
    </row>
    <row r="79" spans="1:9" ht="12" customHeight="1">
      <c r="A79" s="615"/>
      <c r="B79" s="557" t="s">
        <v>1761</v>
      </c>
      <c r="C79" s="58"/>
      <c r="D79" s="53">
        <v>428.08</v>
      </c>
      <c r="E79" s="54"/>
      <c r="F79" s="58">
        <v>2.9</v>
      </c>
      <c r="G79" s="610">
        <f>F79*D79</f>
        <v>1241.432</v>
      </c>
      <c r="H79" s="624"/>
      <c r="I79" s="563" t="s">
        <v>65</v>
      </c>
    </row>
    <row r="80" spans="1:9" ht="12" customHeight="1">
      <c r="A80" s="615"/>
      <c r="B80" s="558"/>
      <c r="C80" s="54"/>
      <c r="D80" s="54"/>
      <c r="E80" s="54"/>
      <c r="F80" s="54"/>
      <c r="G80" s="560"/>
      <c r="H80" s="562"/>
      <c r="I80" s="564"/>
    </row>
    <row r="81" spans="1:9" ht="12" customHeight="1">
      <c r="A81" s="615"/>
      <c r="B81" s="557" t="s">
        <v>1762</v>
      </c>
      <c r="C81" s="58"/>
      <c r="D81" s="53">
        <v>461.19</v>
      </c>
      <c r="E81" s="54"/>
      <c r="F81" s="58">
        <v>2.9</v>
      </c>
      <c r="G81" s="610">
        <f>F81*D81</f>
        <v>1337.451</v>
      </c>
      <c r="H81" s="624"/>
      <c r="I81" s="563" t="s">
        <v>65</v>
      </c>
    </row>
    <row r="82" spans="1:9" ht="12" customHeight="1">
      <c r="A82" s="615"/>
      <c r="B82" s="558"/>
      <c r="C82" s="54"/>
      <c r="D82" s="54"/>
      <c r="E82" s="54"/>
      <c r="F82" s="54"/>
      <c r="G82" s="560"/>
      <c r="H82" s="562"/>
      <c r="I82" s="564"/>
    </row>
    <row r="83" spans="1:9" ht="12" customHeight="1">
      <c r="A83" s="615"/>
      <c r="B83" s="557" t="s">
        <v>1764</v>
      </c>
      <c r="C83" s="58"/>
      <c r="D83" s="53">
        <v>726.88</v>
      </c>
      <c r="E83" s="54"/>
      <c r="F83" s="58">
        <v>2.9</v>
      </c>
      <c r="G83" s="610">
        <f>F83*D83</f>
        <v>2107.9519999999998</v>
      </c>
      <c r="H83" s="624"/>
      <c r="I83" s="563" t="s">
        <v>65</v>
      </c>
    </row>
    <row r="84" spans="1:9" ht="12" customHeight="1">
      <c r="A84" s="615"/>
      <c r="B84" s="558"/>
      <c r="C84" s="54"/>
      <c r="D84" s="54"/>
      <c r="E84" s="54"/>
      <c r="F84" s="54"/>
      <c r="G84" s="560"/>
      <c r="H84" s="562"/>
      <c r="I84" s="564"/>
    </row>
    <row r="85" spans="1:9" ht="12" customHeight="1">
      <c r="A85" s="615"/>
      <c r="B85" s="557" t="s">
        <v>1765</v>
      </c>
      <c r="C85" s="58"/>
      <c r="D85" s="53">
        <v>152.09</v>
      </c>
      <c r="E85" s="54"/>
      <c r="F85" s="58">
        <v>2.9</v>
      </c>
      <c r="G85" s="610">
        <f>F85*D85</f>
        <v>441.06099999999998</v>
      </c>
      <c r="H85" s="624"/>
      <c r="I85" s="563" t="s">
        <v>65</v>
      </c>
    </row>
    <row r="86" spans="1:9" ht="12" customHeight="1">
      <c r="A86" s="615"/>
      <c r="B86" s="558"/>
      <c r="C86" s="54"/>
      <c r="D86" s="54"/>
      <c r="E86" s="54"/>
      <c r="F86" s="54"/>
      <c r="G86" s="560"/>
      <c r="H86" s="562"/>
      <c r="I86" s="564"/>
    </row>
    <row r="87" spans="1:9" ht="12" customHeight="1">
      <c r="A87" s="616"/>
      <c r="B87" s="565" t="s">
        <v>33</v>
      </c>
      <c r="C87" s="566"/>
      <c r="D87" s="566"/>
      <c r="E87" s="567"/>
      <c r="F87" s="299" t="str">
        <f>A70</f>
        <v>030504</v>
      </c>
      <c r="G87" s="300">
        <f>SUM(G71:G86)</f>
        <v>8216.9369999999999</v>
      </c>
      <c r="H87" s="301"/>
      <c r="I87" s="302" t="str">
        <f>IF(F87="","",VLOOKUP(F87,'ابنیه 95'!$A:$E,3,FALSE))</f>
        <v>مترمکعب</v>
      </c>
    </row>
    <row r="88" spans="1:9" ht="12" customHeight="1">
      <c r="A88" s="614" t="s">
        <v>446</v>
      </c>
      <c r="B88" s="571" t="str">
        <f>IF(A88="","",VLOOKUP(A88,'ابنیه 95'!$A:$E,2,FALSE))</f>
        <v>اضافه بها به ‌رديف‌هاي 030501، 030502 و 030504، هرگاه پي‌كني، كانال‌كني زير تراز آب زيرزميني انجام شود وآبكشي با تلمبه موتوري الزامي باشد.</v>
      </c>
      <c r="C88" s="572"/>
      <c r="D88" s="572"/>
      <c r="E88" s="572"/>
      <c r="F88" s="572"/>
      <c r="G88" s="572"/>
      <c r="H88" s="572"/>
      <c r="I88" s="573"/>
    </row>
    <row r="89" spans="1:9" ht="12" customHeight="1">
      <c r="A89" s="615"/>
      <c r="B89" s="584" t="s">
        <v>1766</v>
      </c>
      <c r="C89" s="275"/>
      <c r="D89" s="275"/>
      <c r="E89" s="292"/>
      <c r="F89" s="275"/>
      <c r="G89" s="559">
        <f>G87</f>
        <v>8216.9369999999999</v>
      </c>
      <c r="H89" s="561"/>
      <c r="I89" s="563" t="s">
        <v>65</v>
      </c>
    </row>
    <row r="90" spans="1:9" ht="12" customHeight="1">
      <c r="A90" s="615"/>
      <c r="B90" s="585"/>
      <c r="C90" s="53"/>
      <c r="D90" s="53"/>
      <c r="E90" s="54"/>
      <c r="F90" s="53"/>
      <c r="G90" s="560"/>
      <c r="H90" s="562"/>
      <c r="I90" s="564"/>
    </row>
    <row r="91" spans="1:9" ht="12" customHeight="1">
      <c r="A91" s="616"/>
      <c r="B91" s="565" t="s">
        <v>33</v>
      </c>
      <c r="C91" s="566"/>
      <c r="D91" s="566"/>
      <c r="E91" s="567"/>
      <c r="F91" s="299" t="str">
        <f>A88</f>
        <v>030602</v>
      </c>
      <c r="G91" s="300">
        <f>SUM(G89:G90)</f>
        <v>8216.9369999999999</v>
      </c>
      <c r="H91" s="301">
        <f>SUM(H89:H90)</f>
        <v>0</v>
      </c>
      <c r="I91" s="302" t="str">
        <f>IF(F91="","",VLOOKUP(F91,'ابنیه 95'!$A:$E,3,FALSE))</f>
        <v>مترمکعب</v>
      </c>
    </row>
    <row r="92" spans="1:9" ht="12" customHeight="1">
      <c r="A92" s="614" t="s">
        <v>91</v>
      </c>
      <c r="B92" s="581" t="str">
        <f>IF(A92="","",VLOOKUP(A92,'ابنیه 95'!$A:$E,2,FALSE))</f>
        <v>بارگيري مواد حاصل از عمليات خاكي يا خاك‌هاي توده شده و حمل آن با كاميون يا هرنوع وسيله مكانيكي ديگر تا فاصله 100 متري مركز ثقل برداشت و تخليه آن.</v>
      </c>
      <c r="C92" s="582"/>
      <c r="D92" s="582"/>
      <c r="E92" s="582"/>
      <c r="F92" s="582"/>
      <c r="G92" s="582"/>
      <c r="H92" s="582"/>
      <c r="I92" s="583"/>
    </row>
    <row r="93" spans="1:9" ht="12" customHeight="1">
      <c r="A93" s="615"/>
      <c r="B93" s="584" t="s">
        <v>1766</v>
      </c>
      <c r="C93" s="53"/>
      <c r="D93" s="53"/>
      <c r="E93" s="54"/>
      <c r="F93" s="53"/>
      <c r="G93" s="559">
        <f>G87+G69</f>
        <v>11713.484999999999</v>
      </c>
      <c r="H93" s="625"/>
      <c r="I93" s="622" t="s">
        <v>65</v>
      </c>
    </row>
    <row r="94" spans="1:9" ht="12" customHeight="1">
      <c r="A94" s="615"/>
      <c r="B94" s="585"/>
      <c r="C94" s="53"/>
      <c r="D94" s="53"/>
      <c r="E94" s="54"/>
      <c r="F94" s="53"/>
      <c r="G94" s="560"/>
      <c r="H94" s="562"/>
      <c r="I94" s="623"/>
    </row>
    <row r="95" spans="1:9" ht="12" customHeight="1">
      <c r="A95" s="616"/>
      <c r="B95" s="565" t="s">
        <v>33</v>
      </c>
      <c r="C95" s="566"/>
      <c r="D95" s="566"/>
      <c r="E95" s="567"/>
      <c r="F95" s="299" t="str">
        <f>A92</f>
        <v>030701</v>
      </c>
      <c r="G95" s="303">
        <f>SUM(G93:G94)</f>
        <v>11713.484999999999</v>
      </c>
      <c r="H95" s="304">
        <f>SUM(H93:H94)</f>
        <v>0</v>
      </c>
      <c r="I95" s="302" t="str">
        <f>IF(F95="","",VLOOKUP(F95,'ابنیه 95'!$A:$E,3,FALSE))</f>
        <v>مترمکعب</v>
      </c>
    </row>
    <row r="96" spans="1:9" ht="12" customHeight="1">
      <c r="A96" s="614" t="s">
        <v>92</v>
      </c>
      <c r="B96" s="626" t="str">
        <f>IF(A96="","",VLOOKUP(A96,'ابنیه 95'!$A:$E,2,FALSE))</f>
        <v>حمل مواد حاصل از عمليات خاكي يا خاك‌هاي توده شده، وقتي كه فاصله حمل بيش از 100 متر تا 500 متر باشد، به ازاي هر 100 متر مازاد بر100 متر اول. كسر 100 متر به تناسب محاسبه مي شود.</v>
      </c>
      <c r="C96" s="627"/>
      <c r="D96" s="627"/>
      <c r="E96" s="627"/>
      <c r="F96" s="627"/>
      <c r="G96" s="627"/>
      <c r="H96" s="627"/>
      <c r="I96" s="628"/>
    </row>
    <row r="97" spans="1:9" ht="12" customHeight="1">
      <c r="A97" s="615"/>
      <c r="B97" s="584" t="str">
        <f>B93</f>
        <v xml:space="preserve">پی کنی ساختمان های Y,Z </v>
      </c>
      <c r="C97" s="54"/>
      <c r="D97" s="247">
        <f>G93</f>
        <v>11713.484999999999</v>
      </c>
      <c r="E97" s="54"/>
      <c r="F97" s="53">
        <v>4</v>
      </c>
      <c r="G97" s="559">
        <f>F97*D97</f>
        <v>46853.939999999995</v>
      </c>
      <c r="H97" s="561"/>
      <c r="I97" s="622" t="str">
        <f>I93</f>
        <v>علی الحساب</v>
      </c>
    </row>
    <row r="98" spans="1:9" ht="12" customHeight="1">
      <c r="A98" s="615"/>
      <c r="B98" s="585"/>
      <c r="C98" s="53"/>
      <c r="D98" s="54"/>
      <c r="E98" s="54"/>
      <c r="F98" s="54"/>
      <c r="G98" s="560"/>
      <c r="H98" s="562"/>
      <c r="I98" s="623"/>
    </row>
    <row r="99" spans="1:9" ht="12" customHeight="1">
      <c r="A99" s="616"/>
      <c r="B99" s="565" t="s">
        <v>33</v>
      </c>
      <c r="C99" s="566"/>
      <c r="D99" s="566"/>
      <c r="E99" s="567"/>
      <c r="F99" s="299" t="str">
        <f>A96</f>
        <v>030702</v>
      </c>
      <c r="G99" s="300">
        <f>SUM(G97:G98)</f>
        <v>46853.939999999995</v>
      </c>
      <c r="H99" s="305">
        <f>SUM(H97:H98)</f>
        <v>0</v>
      </c>
      <c r="I99" s="302" t="str">
        <f>IF(F99="","",VLOOKUP(F99,'ابنیه 95'!$A:$E,3,FALSE))</f>
        <v>مترمکعب</v>
      </c>
    </row>
    <row r="100" spans="1:9" ht="12" customHeight="1">
      <c r="A100" s="614" t="s">
        <v>135</v>
      </c>
      <c r="B100" s="593" t="str">
        <f>IF(A100="","",VLOOKUP(A100,'ابنیه 95'!$A:$E,2,FALSE))</f>
        <v>حمل مواد حاصل از عمليات خاكي يا خاك‌هاي توده شده، وقتي كه فاصله حمل بيش از500 متر تا10 كيلومتر باشد، براي هر كيلومتر مازاد بر500 متر اول، براي راه‌هاي آسفالتي (كسر كيلومتر به‌نسبت قيمت يك كيلومتر محاسبه مي‌شود).</v>
      </c>
      <c r="C100" s="594"/>
      <c r="D100" s="594"/>
      <c r="E100" s="594"/>
      <c r="F100" s="594"/>
      <c r="G100" s="594"/>
      <c r="H100" s="594"/>
      <c r="I100" s="595"/>
    </row>
    <row r="101" spans="1:9" ht="12" customHeight="1">
      <c r="A101" s="615"/>
      <c r="B101" s="584" t="str">
        <f>B97</f>
        <v xml:space="preserve">پی کنی ساختمان های Y,Z </v>
      </c>
      <c r="C101" s="54"/>
      <c r="D101" s="247">
        <f>G93</f>
        <v>11713.484999999999</v>
      </c>
      <c r="E101" s="54"/>
      <c r="F101" s="53">
        <v>9.5</v>
      </c>
      <c r="G101" s="620">
        <f>F101*D101</f>
        <v>111278.10749999998</v>
      </c>
      <c r="H101" s="561"/>
      <c r="I101" s="622" t="str">
        <f>I97</f>
        <v>علی الحساب</v>
      </c>
    </row>
    <row r="102" spans="1:9" ht="12" customHeight="1">
      <c r="A102" s="615"/>
      <c r="B102" s="585"/>
      <c r="C102" s="53"/>
      <c r="D102" s="56"/>
      <c r="E102" s="56"/>
      <c r="F102" s="56"/>
      <c r="G102" s="621"/>
      <c r="H102" s="562"/>
      <c r="I102" s="623"/>
    </row>
    <row r="103" spans="1:9" ht="12" customHeight="1">
      <c r="A103" s="615"/>
      <c r="B103" s="557" t="s">
        <v>1767</v>
      </c>
      <c r="C103" s="54"/>
      <c r="D103" s="247">
        <v>5800</v>
      </c>
      <c r="E103" s="54"/>
      <c r="F103" s="53">
        <v>9.5</v>
      </c>
      <c r="G103" s="620">
        <f>F103*D103</f>
        <v>55100</v>
      </c>
      <c r="H103" s="561"/>
      <c r="I103" s="622" t="s">
        <v>65</v>
      </c>
    </row>
    <row r="104" spans="1:9" ht="12" customHeight="1">
      <c r="A104" s="615"/>
      <c r="B104" s="558"/>
      <c r="C104" s="53"/>
      <c r="D104" s="56"/>
      <c r="E104" s="56"/>
      <c r="F104" s="56"/>
      <c r="G104" s="621"/>
      <c r="H104" s="562"/>
      <c r="I104" s="623"/>
    </row>
    <row r="105" spans="1:9" ht="12" customHeight="1">
      <c r="A105" s="616"/>
      <c r="B105" s="565" t="s">
        <v>33</v>
      </c>
      <c r="C105" s="566"/>
      <c r="D105" s="566"/>
      <c r="E105" s="567"/>
      <c r="F105" s="299" t="str">
        <f>A100</f>
        <v>030703</v>
      </c>
      <c r="G105" s="306">
        <f>SUM(G101:G104)</f>
        <v>166378.10749999998</v>
      </c>
      <c r="H105" s="305">
        <f>SUM(H101:H102)</f>
        <v>0</v>
      </c>
      <c r="I105" s="302" t="str">
        <f>IF(F105="","",VLOOKUP(F105,'ابنیه 95'!$A:$E,3,FALSE))</f>
        <v>مترمکعب -  کيلومتر</v>
      </c>
    </row>
    <row r="106" spans="1:9" ht="12" customHeight="1">
      <c r="A106" s="614" t="s">
        <v>136</v>
      </c>
      <c r="B106" s="593" t="str">
        <f>IF(A106="","",VLOOKUP(A106,'ابنیه 95'!$A:$E,2,FALSE))</f>
        <v>حمل مواد حاصل از عمليات خاكي ياخاك‌هاي توده شده، وقتي كه فاصله حمل بيش از10 كيلومتر تا30 كيلومتر باشد، براي هر كيلومتر مازاد بر10 كيلومتر، براي راه‌هاي آسفالتي(كسر كيلومتر، به‌نسبت قيمت يك كيلومتر محاسبه مي‌شود).</v>
      </c>
      <c r="C106" s="594"/>
      <c r="D106" s="594"/>
      <c r="E106" s="594"/>
      <c r="F106" s="594"/>
      <c r="G106" s="594"/>
      <c r="H106" s="594"/>
      <c r="I106" s="595"/>
    </row>
    <row r="107" spans="1:9" ht="12" customHeight="1">
      <c r="A107" s="615"/>
      <c r="B107" s="584" t="str">
        <f>B101</f>
        <v xml:space="preserve">پی کنی ساختمان های Y,Z </v>
      </c>
      <c r="C107" s="54"/>
      <c r="D107" s="247">
        <f>D101</f>
        <v>11713.484999999999</v>
      </c>
      <c r="E107" s="54"/>
      <c r="F107" s="53">
        <v>3.3</v>
      </c>
      <c r="G107" s="559">
        <f>F107*D107</f>
        <v>38654.500499999995</v>
      </c>
      <c r="H107" s="561"/>
      <c r="I107" s="622" t="str">
        <f>I101</f>
        <v>علی الحساب</v>
      </c>
    </row>
    <row r="108" spans="1:9" ht="12" customHeight="1">
      <c r="A108" s="615"/>
      <c r="B108" s="585"/>
      <c r="C108" s="53"/>
      <c r="D108" s="54"/>
      <c r="E108" s="56"/>
      <c r="F108" s="54"/>
      <c r="G108" s="560"/>
      <c r="H108" s="562"/>
      <c r="I108" s="623"/>
    </row>
    <row r="109" spans="1:9" ht="12" customHeight="1">
      <c r="A109" s="615"/>
      <c r="B109" s="557" t="s">
        <v>1767</v>
      </c>
      <c r="C109" s="54"/>
      <c r="D109" s="247">
        <v>5800</v>
      </c>
      <c r="E109" s="54"/>
      <c r="F109" s="53">
        <v>3.5</v>
      </c>
      <c r="G109" s="620">
        <f>F109*D109</f>
        <v>20300</v>
      </c>
      <c r="H109" s="561"/>
      <c r="I109" s="622" t="s">
        <v>65</v>
      </c>
    </row>
    <row r="110" spans="1:9" ht="12" customHeight="1">
      <c r="A110" s="615"/>
      <c r="B110" s="558"/>
      <c r="C110" s="53"/>
      <c r="D110" s="56"/>
      <c r="E110" s="56"/>
      <c r="F110" s="56"/>
      <c r="G110" s="621"/>
      <c r="H110" s="562"/>
      <c r="I110" s="623"/>
    </row>
    <row r="111" spans="1:9" ht="12" customHeight="1">
      <c r="A111" s="616"/>
      <c r="B111" s="565" t="s">
        <v>33</v>
      </c>
      <c r="C111" s="566"/>
      <c r="D111" s="566"/>
      <c r="E111" s="567"/>
      <c r="F111" s="299" t="str">
        <f>A106</f>
        <v>030704</v>
      </c>
      <c r="G111" s="306">
        <f>SUM(G107:G110)</f>
        <v>58954.500499999995</v>
      </c>
      <c r="H111" s="305">
        <f>SUM(H107:H110)</f>
        <v>0</v>
      </c>
      <c r="I111" s="302" t="str">
        <f>IF(F111="","",VLOOKUP(F111,'ابنیه 95'!$A:$E,3,FALSE))</f>
        <v>مترمکعب -  کيلومتر</v>
      </c>
    </row>
    <row r="112" spans="1:9" ht="12" customHeight="1">
      <c r="A112" s="614" t="s">
        <v>208</v>
      </c>
      <c r="B112" s="571" t="str">
        <f>IF(A112="","",VLOOKUP(A112,'ابنیه 95'!$A:$E,2,FALSE))</f>
        <v>ريختن خاك‌ها يا مصالح سنگي موجود كنار پي‌ها، گودها و كانال‌ها، به‌درون پي‌ها، گودها و كانال‌ها.</v>
      </c>
      <c r="C112" s="572"/>
      <c r="D112" s="572"/>
      <c r="E112" s="572"/>
      <c r="F112" s="572"/>
      <c r="G112" s="572"/>
      <c r="H112" s="572"/>
      <c r="I112" s="573"/>
    </row>
    <row r="113" spans="1:9" ht="12" customHeight="1">
      <c r="A113" s="615"/>
      <c r="B113" s="584" t="s">
        <v>209</v>
      </c>
      <c r="C113" s="54"/>
      <c r="D113" s="55"/>
      <c r="E113" s="54"/>
      <c r="F113" s="53"/>
      <c r="G113" s="559">
        <v>5800</v>
      </c>
      <c r="H113" s="561"/>
      <c r="I113" s="622" t="s">
        <v>65</v>
      </c>
    </row>
    <row r="114" spans="1:9" ht="12" customHeight="1">
      <c r="A114" s="615"/>
      <c r="B114" s="585"/>
      <c r="C114" s="53"/>
      <c r="D114" s="54"/>
      <c r="E114" s="56"/>
      <c r="F114" s="54"/>
      <c r="G114" s="560"/>
      <c r="H114" s="562"/>
      <c r="I114" s="623"/>
    </row>
    <row r="115" spans="1:9" ht="12" customHeight="1">
      <c r="A115" s="616"/>
      <c r="B115" s="565" t="s">
        <v>33</v>
      </c>
      <c r="C115" s="566"/>
      <c r="D115" s="566"/>
      <c r="E115" s="567"/>
      <c r="F115" s="299" t="str">
        <f>A112</f>
        <v>031001</v>
      </c>
      <c r="G115" s="306">
        <f>SUM(G113:G114)</f>
        <v>5800</v>
      </c>
      <c r="H115" s="305">
        <f>SUM(H113:H114)</f>
        <v>0</v>
      </c>
      <c r="I115" s="302" t="str">
        <f>IF(F115="","",VLOOKUP(F115,'ابنیه 95'!$A:$E,3,FALSE))</f>
        <v>مترمکعب</v>
      </c>
    </row>
    <row r="116" spans="1:9" ht="12" customHeight="1">
      <c r="A116" s="586" t="s">
        <v>146</v>
      </c>
      <c r="B116" s="587"/>
      <c r="C116" s="587"/>
      <c r="D116" s="587"/>
      <c r="E116" s="587"/>
      <c r="F116" s="587"/>
      <c r="G116" s="587"/>
      <c r="H116" s="587"/>
      <c r="I116" s="588"/>
    </row>
    <row r="117" spans="1:9" ht="12" customHeight="1">
      <c r="A117" s="551" t="s">
        <v>178</v>
      </c>
      <c r="B117" s="571" t="str">
        <f>IF(A117="","",VLOOKUP(A117,'ابنیه 95'!$A:$E,2,FALSE))</f>
        <v>سنگ چيني دركف ساختمان (بلوكاژ) با سنگ لاشه.</v>
      </c>
      <c r="C117" s="572"/>
      <c r="D117" s="572"/>
      <c r="E117" s="572"/>
      <c r="F117" s="572"/>
      <c r="G117" s="572"/>
      <c r="H117" s="572"/>
      <c r="I117" s="573"/>
    </row>
    <row r="118" spans="1:9" ht="11.4" customHeight="1">
      <c r="A118" s="552"/>
      <c r="B118" s="584" t="str">
        <f>B32</f>
        <v>عملیات انجام گرفته در زیرزمین ZONE Z1</v>
      </c>
      <c r="C118" s="53"/>
      <c r="D118" s="53"/>
      <c r="E118" s="54"/>
      <c r="F118" s="53"/>
      <c r="G118" s="559">
        <v>25.3</v>
      </c>
      <c r="H118" s="561">
        <v>0</v>
      </c>
      <c r="I118" s="563" t="str">
        <f>I32</f>
        <v>علی الحساب</v>
      </c>
    </row>
    <row r="119" spans="1:9" ht="11.4" customHeight="1">
      <c r="A119" s="552"/>
      <c r="B119" s="585"/>
      <c r="C119" s="54"/>
      <c r="D119" s="54"/>
      <c r="E119" s="54"/>
      <c r="F119" s="54"/>
      <c r="G119" s="560"/>
      <c r="H119" s="562"/>
      <c r="I119" s="564"/>
    </row>
    <row r="120" spans="1:9" ht="11.4" customHeight="1">
      <c r="A120" s="552"/>
      <c r="B120" s="584" t="str">
        <f>B34</f>
        <v>عملیات انجام گرفته در زیرزمین ZONE Z2</v>
      </c>
      <c r="C120" s="53"/>
      <c r="D120" s="53"/>
      <c r="E120" s="54"/>
      <c r="F120" s="53"/>
      <c r="G120" s="559">
        <v>134.44999999999999</v>
      </c>
      <c r="H120" s="561">
        <v>0</v>
      </c>
      <c r="I120" s="563" t="str">
        <f>I34</f>
        <v>علی الحساب</v>
      </c>
    </row>
    <row r="121" spans="1:9" ht="11.4" customHeight="1">
      <c r="A121" s="552"/>
      <c r="B121" s="585"/>
      <c r="C121" s="54"/>
      <c r="D121" s="54"/>
      <c r="E121" s="54"/>
      <c r="F121" s="54"/>
      <c r="G121" s="560"/>
      <c r="H121" s="562"/>
      <c r="I121" s="564"/>
    </row>
    <row r="122" spans="1:9" ht="11.4" customHeight="1">
      <c r="A122" s="552"/>
      <c r="B122" s="584" t="str">
        <f>B36</f>
        <v>عملیات انجام گرفته در زیرزمین ZONE Z3</v>
      </c>
      <c r="C122" s="53"/>
      <c r="D122" s="53"/>
      <c r="E122" s="54"/>
      <c r="F122" s="53"/>
      <c r="G122" s="559">
        <v>104.26</v>
      </c>
      <c r="H122" s="561">
        <v>0</v>
      </c>
      <c r="I122" s="563" t="str">
        <f>I36</f>
        <v>علی الحساب</v>
      </c>
    </row>
    <row r="123" spans="1:9" ht="11.4" customHeight="1">
      <c r="A123" s="552"/>
      <c r="B123" s="585"/>
      <c r="C123" s="54"/>
      <c r="D123" s="54"/>
      <c r="E123" s="54"/>
      <c r="F123" s="54"/>
      <c r="G123" s="560"/>
      <c r="H123" s="562"/>
      <c r="I123" s="564"/>
    </row>
    <row r="124" spans="1:9" ht="11.4" customHeight="1">
      <c r="A124" s="552"/>
      <c r="B124" s="584" t="str">
        <f>B38</f>
        <v>عملیات انجام گرفته در زیرزمین ZONE Z4</v>
      </c>
      <c r="C124" s="53"/>
      <c r="D124" s="53"/>
      <c r="E124" s="54"/>
      <c r="F124" s="53"/>
      <c r="G124" s="559">
        <v>180.56</v>
      </c>
      <c r="H124" s="561">
        <v>0</v>
      </c>
      <c r="I124" s="563" t="str">
        <f>I38</f>
        <v>علی الحساب</v>
      </c>
    </row>
    <row r="125" spans="1:9" ht="11.4" customHeight="1">
      <c r="A125" s="552"/>
      <c r="B125" s="585"/>
      <c r="C125" s="54"/>
      <c r="D125" s="54"/>
      <c r="E125" s="54"/>
      <c r="F125" s="54"/>
      <c r="G125" s="560"/>
      <c r="H125" s="562"/>
      <c r="I125" s="564"/>
    </row>
    <row r="126" spans="1:9" ht="11.4" customHeight="1">
      <c r="A126" s="552"/>
      <c r="B126" s="584" t="str">
        <f>B40</f>
        <v>عملیات انجام گرفته در زیرزمین ZONE Z5</v>
      </c>
      <c r="C126" s="53"/>
      <c r="D126" s="53"/>
      <c r="E126" s="54"/>
      <c r="F126" s="53"/>
      <c r="G126" s="559">
        <v>33.119999999999997</v>
      </c>
      <c r="H126" s="561">
        <v>0</v>
      </c>
      <c r="I126" s="563" t="str">
        <f>I40</f>
        <v>علی الحساب</v>
      </c>
    </row>
    <row r="127" spans="1:9" ht="11.4" customHeight="1">
      <c r="A127" s="552"/>
      <c r="B127" s="585"/>
      <c r="C127" s="54"/>
      <c r="D127" s="54"/>
      <c r="E127" s="54"/>
      <c r="F127" s="54"/>
      <c r="G127" s="560"/>
      <c r="H127" s="562"/>
      <c r="I127" s="564"/>
    </row>
    <row r="128" spans="1:9" ht="11.4" customHeight="1">
      <c r="A128" s="552"/>
      <c r="B128" s="584" t="str">
        <f>B42</f>
        <v>عملیات انجام گرفته در زیرزمین ZONE Y1</v>
      </c>
      <c r="C128" s="53"/>
      <c r="D128" s="53"/>
      <c r="E128" s="54"/>
      <c r="F128" s="53"/>
      <c r="G128" s="559">
        <v>42.07</v>
      </c>
      <c r="H128" s="561">
        <v>0</v>
      </c>
      <c r="I128" s="563" t="str">
        <f>I42</f>
        <v>علی الحساب</v>
      </c>
    </row>
    <row r="129" spans="1:9" ht="11.4" customHeight="1">
      <c r="A129" s="552"/>
      <c r="B129" s="585"/>
      <c r="C129" s="54"/>
      <c r="D129" s="54"/>
      <c r="E129" s="54"/>
      <c r="F129" s="54"/>
      <c r="G129" s="560"/>
      <c r="H129" s="562"/>
      <c r="I129" s="564"/>
    </row>
    <row r="130" spans="1:9" ht="11.4" customHeight="1">
      <c r="A130" s="552"/>
      <c r="B130" s="584" t="str">
        <f>B44</f>
        <v>عملیات انجام گرفته در زیرزمین ZONE Y2</v>
      </c>
      <c r="C130" s="53"/>
      <c r="D130" s="53"/>
      <c r="E130" s="54"/>
      <c r="F130" s="53"/>
      <c r="G130" s="559">
        <v>68.87</v>
      </c>
      <c r="H130" s="561">
        <v>0</v>
      </c>
      <c r="I130" s="563" t="str">
        <f>I44</f>
        <v>علی الحساب</v>
      </c>
    </row>
    <row r="131" spans="1:9" ht="11.4" customHeight="1">
      <c r="A131" s="552"/>
      <c r="B131" s="585"/>
      <c r="C131" s="54"/>
      <c r="D131" s="54"/>
      <c r="E131" s="54"/>
      <c r="F131" s="54"/>
      <c r="G131" s="560"/>
      <c r="H131" s="562"/>
      <c r="I131" s="564"/>
    </row>
    <row r="132" spans="1:9" ht="11.4" customHeight="1">
      <c r="A132" s="552"/>
      <c r="B132" s="584" t="str">
        <f>B46</f>
        <v>عملیات انجام گرفته در زیرزمین ZONE Y3</v>
      </c>
      <c r="C132" s="53"/>
      <c r="D132" s="53"/>
      <c r="E132" s="54"/>
      <c r="F132" s="53"/>
      <c r="G132" s="559">
        <v>100.79</v>
      </c>
      <c r="H132" s="561">
        <v>0</v>
      </c>
      <c r="I132" s="563" t="str">
        <f>I46</f>
        <v>علی الحساب</v>
      </c>
    </row>
    <row r="133" spans="1:9" ht="11.4" customHeight="1">
      <c r="A133" s="552"/>
      <c r="B133" s="585"/>
      <c r="C133" s="54"/>
      <c r="D133" s="54"/>
      <c r="E133" s="54"/>
      <c r="F133" s="54"/>
      <c r="G133" s="560"/>
      <c r="H133" s="562"/>
      <c r="I133" s="564"/>
    </row>
    <row r="134" spans="1:9" ht="12" customHeight="1">
      <c r="A134" s="553"/>
      <c r="B134" s="565" t="s">
        <v>33</v>
      </c>
      <c r="C134" s="566"/>
      <c r="D134" s="566"/>
      <c r="E134" s="567"/>
      <c r="F134" s="299" t="str">
        <f>A117</f>
        <v>040102</v>
      </c>
      <c r="G134" s="300">
        <f>SUM(G118:G133)</f>
        <v>689.42</v>
      </c>
      <c r="H134" s="301">
        <f>SUM(H118:H119)</f>
        <v>0</v>
      </c>
      <c r="I134" s="302" t="str">
        <f>IF(F134="","",VLOOKUP(F134,'ابنیه 95'!$A:$E,3,FALSE))</f>
        <v>مترمکعب</v>
      </c>
    </row>
    <row r="135" spans="1:9" ht="29.25" customHeight="1">
      <c r="A135" s="551" t="s">
        <v>545</v>
      </c>
      <c r="B135" s="554" t="str">
        <f>IF(A135="","",VLOOKUP(A135,'ابنیه 95'!$A:$E,2,FALSE))</f>
        <v>تهيه و ريختن ماسه شسته رودخانه در داخل كانال‌ها، اطراف پي‌ها و لوله‌ها، كف ساختمان‌ها، روي بام‌ها معابر، محوطه‌ها و يا هر محل ديگري كه لازم باشد، به‌انضمام پخش و تسطيح آن‌ها در ضخامت‌هاي لازم.</v>
      </c>
      <c r="C135" s="555"/>
      <c r="D135" s="555"/>
      <c r="E135" s="555"/>
      <c r="F135" s="555"/>
      <c r="G135" s="555"/>
      <c r="H135" s="555"/>
      <c r="I135" s="556"/>
    </row>
    <row r="136" spans="1:9" ht="11.4" customHeight="1">
      <c r="A136" s="552"/>
      <c r="B136" s="557" t="s">
        <v>3112</v>
      </c>
      <c r="C136" s="232">
        <v>200</v>
      </c>
      <c r="D136" s="53">
        <v>0.5</v>
      </c>
      <c r="E136" s="55">
        <v>0.5</v>
      </c>
      <c r="F136" s="53"/>
      <c r="G136" s="559">
        <f>E136*D136*C136</f>
        <v>50</v>
      </c>
      <c r="H136" s="561">
        <v>0</v>
      </c>
      <c r="I136" s="563" t="s">
        <v>65</v>
      </c>
    </row>
    <row r="137" spans="1:9" ht="11.4" customHeight="1">
      <c r="A137" s="552"/>
      <c r="B137" s="558"/>
      <c r="C137" s="54"/>
      <c r="D137" s="54"/>
      <c r="E137" s="54"/>
      <c r="F137" s="54"/>
      <c r="G137" s="560"/>
      <c r="H137" s="562"/>
      <c r="I137" s="564"/>
    </row>
    <row r="138" spans="1:9" ht="12" customHeight="1">
      <c r="A138" s="553"/>
      <c r="B138" s="565" t="s">
        <v>33</v>
      </c>
      <c r="C138" s="566"/>
      <c r="D138" s="566"/>
      <c r="E138" s="567"/>
      <c r="F138" s="299" t="str">
        <f>A135</f>
        <v>040502</v>
      </c>
      <c r="G138" s="414">
        <f>SUM(G136:G137)</f>
        <v>50</v>
      </c>
      <c r="H138" s="415">
        <f>SUM(H136:H137)</f>
        <v>0</v>
      </c>
      <c r="I138" s="302" t="str">
        <f>IF(F138="","",VLOOKUP(F138,'ابنیه 95'!$A:$E,3,FALSE))</f>
        <v>مترمکعب</v>
      </c>
    </row>
    <row r="139" spans="1:9" ht="12" customHeight="1">
      <c r="A139" s="586" t="s">
        <v>1818</v>
      </c>
      <c r="B139" s="587"/>
      <c r="C139" s="587"/>
      <c r="D139" s="587"/>
      <c r="E139" s="587"/>
      <c r="F139" s="587"/>
      <c r="G139" s="587"/>
      <c r="H139" s="587"/>
      <c r="I139" s="588"/>
    </row>
    <row r="140" spans="1:9" ht="12" customHeight="1">
      <c r="A140" s="551" t="s">
        <v>164</v>
      </c>
      <c r="B140" s="571" t="str">
        <f>IF(A140="","",VLOOKUP(A140,'ابنیه 95'!$A:$E,2,FALSE))</f>
        <v>تهيه وسايل و قالب‌بندي با استفاده از تخته نراد خارجي، در تيرهاي بتني تا ارتفاع حداكثر 3/5 متر.</v>
      </c>
      <c r="C140" s="572"/>
      <c r="D140" s="572"/>
      <c r="E140" s="572"/>
      <c r="F140" s="572"/>
      <c r="G140" s="572"/>
      <c r="H140" s="572"/>
      <c r="I140" s="573"/>
    </row>
    <row r="141" spans="1:9" ht="11.4" customHeight="1">
      <c r="A141" s="552"/>
      <c r="B141" s="584" t="s">
        <v>1819</v>
      </c>
      <c r="C141" s="53"/>
      <c r="D141" s="53"/>
      <c r="E141" s="54"/>
      <c r="F141" s="53"/>
      <c r="G141" s="559">
        <v>15.6</v>
      </c>
      <c r="H141" s="561">
        <v>0</v>
      </c>
      <c r="I141" s="563" t="s">
        <v>65</v>
      </c>
    </row>
    <row r="142" spans="1:9" ht="11.4" customHeight="1">
      <c r="A142" s="552"/>
      <c r="B142" s="585"/>
      <c r="C142" s="54"/>
      <c r="D142" s="54"/>
      <c r="E142" s="54"/>
      <c r="F142" s="54"/>
      <c r="G142" s="560"/>
      <c r="H142" s="562"/>
      <c r="I142" s="564"/>
    </row>
    <row r="143" spans="1:9" ht="11.4" customHeight="1">
      <c r="A143" s="552"/>
      <c r="B143" s="584" t="s">
        <v>1820</v>
      </c>
      <c r="C143" s="53"/>
      <c r="D143" s="53"/>
      <c r="E143" s="54"/>
      <c r="F143" s="53"/>
      <c r="G143" s="559">
        <v>82.91</v>
      </c>
      <c r="H143" s="561">
        <v>0</v>
      </c>
      <c r="I143" s="563" t="s">
        <v>65</v>
      </c>
    </row>
    <row r="144" spans="1:9" ht="11.4" customHeight="1">
      <c r="A144" s="552"/>
      <c r="B144" s="585"/>
      <c r="C144" s="54"/>
      <c r="D144" s="54"/>
      <c r="E144" s="54"/>
      <c r="F144" s="54"/>
      <c r="G144" s="560"/>
      <c r="H144" s="562"/>
      <c r="I144" s="564"/>
    </row>
    <row r="145" spans="1:9" ht="11.4" customHeight="1">
      <c r="A145" s="552"/>
      <c r="B145" s="584" t="s">
        <v>1821</v>
      </c>
      <c r="C145" s="53"/>
      <c r="D145" s="53"/>
      <c r="E145" s="54"/>
      <c r="F145" s="53"/>
      <c r="G145" s="559">
        <v>64.290000000000006</v>
      </c>
      <c r="H145" s="561">
        <v>0</v>
      </c>
      <c r="I145" s="563" t="s">
        <v>65</v>
      </c>
    </row>
    <row r="146" spans="1:9" ht="11.4" customHeight="1">
      <c r="A146" s="552"/>
      <c r="B146" s="585"/>
      <c r="C146" s="54"/>
      <c r="D146" s="54"/>
      <c r="E146" s="54"/>
      <c r="F146" s="54"/>
      <c r="G146" s="560"/>
      <c r="H146" s="562"/>
      <c r="I146" s="564"/>
    </row>
    <row r="147" spans="1:9" ht="11.4" customHeight="1">
      <c r="A147" s="552"/>
      <c r="B147" s="584" t="s">
        <v>1822</v>
      </c>
      <c r="C147" s="53"/>
      <c r="D147" s="53"/>
      <c r="E147" s="54"/>
      <c r="F147" s="53"/>
      <c r="G147" s="559">
        <v>111.34</v>
      </c>
      <c r="H147" s="561">
        <v>0</v>
      </c>
      <c r="I147" s="563" t="s">
        <v>65</v>
      </c>
    </row>
    <row r="148" spans="1:9" ht="11.4" customHeight="1">
      <c r="A148" s="552"/>
      <c r="B148" s="585"/>
      <c r="C148" s="54"/>
      <c r="D148" s="54"/>
      <c r="E148" s="54"/>
      <c r="F148" s="54"/>
      <c r="G148" s="560"/>
      <c r="H148" s="562"/>
      <c r="I148" s="564"/>
    </row>
    <row r="149" spans="1:9" ht="11.4" customHeight="1">
      <c r="A149" s="552"/>
      <c r="B149" s="584" t="s">
        <v>1823</v>
      </c>
      <c r="C149" s="53"/>
      <c r="D149" s="53"/>
      <c r="E149" s="54"/>
      <c r="F149" s="53"/>
      <c r="G149" s="559">
        <v>20.420000000000002</v>
      </c>
      <c r="H149" s="561">
        <v>0</v>
      </c>
      <c r="I149" s="563" t="s">
        <v>65</v>
      </c>
    </row>
    <row r="150" spans="1:9" ht="11.4" customHeight="1">
      <c r="A150" s="552"/>
      <c r="B150" s="585"/>
      <c r="C150" s="54"/>
      <c r="D150" s="54"/>
      <c r="E150" s="54"/>
      <c r="F150" s="54"/>
      <c r="G150" s="560"/>
      <c r="H150" s="562"/>
      <c r="I150" s="564"/>
    </row>
    <row r="151" spans="1:9" ht="11.4" customHeight="1">
      <c r="A151" s="552"/>
      <c r="B151" s="584" t="s">
        <v>1824</v>
      </c>
      <c r="C151" s="53"/>
      <c r="D151" s="53"/>
      <c r="E151" s="54"/>
      <c r="F151" s="53"/>
      <c r="G151" s="559">
        <v>25.94</v>
      </c>
      <c r="H151" s="561">
        <v>0</v>
      </c>
      <c r="I151" s="563" t="s">
        <v>65</v>
      </c>
    </row>
    <row r="152" spans="1:9" ht="11.4" customHeight="1">
      <c r="A152" s="552"/>
      <c r="B152" s="585"/>
      <c r="C152" s="54"/>
      <c r="D152" s="54"/>
      <c r="E152" s="54"/>
      <c r="F152" s="54"/>
      <c r="G152" s="560"/>
      <c r="H152" s="562"/>
      <c r="I152" s="564"/>
    </row>
    <row r="153" spans="1:9" ht="11.4" customHeight="1">
      <c r="A153" s="552"/>
      <c r="B153" s="584" t="s">
        <v>1825</v>
      </c>
      <c r="C153" s="53"/>
      <c r="D153" s="53"/>
      <c r="E153" s="54"/>
      <c r="F153" s="53"/>
      <c r="G153" s="559">
        <v>42.47</v>
      </c>
      <c r="H153" s="561">
        <v>0</v>
      </c>
      <c r="I153" s="563" t="s">
        <v>65</v>
      </c>
    </row>
    <row r="154" spans="1:9" ht="11.4" customHeight="1">
      <c r="A154" s="552"/>
      <c r="B154" s="585"/>
      <c r="C154" s="54"/>
      <c r="D154" s="54"/>
      <c r="E154" s="54"/>
      <c r="F154" s="54"/>
      <c r="G154" s="560"/>
      <c r="H154" s="562"/>
      <c r="I154" s="564"/>
    </row>
    <row r="155" spans="1:9" ht="12" customHeight="1">
      <c r="A155" s="553"/>
      <c r="B155" s="565" t="s">
        <v>33</v>
      </c>
      <c r="C155" s="566"/>
      <c r="D155" s="566"/>
      <c r="E155" s="567"/>
      <c r="F155" s="299" t="str">
        <f>A140</f>
        <v>050501</v>
      </c>
      <c r="G155" s="300">
        <f>SUM(G141:G154)</f>
        <v>362.97</v>
      </c>
      <c r="H155" s="301">
        <f>SUM(H141:H142)</f>
        <v>0</v>
      </c>
      <c r="I155" s="302" t="str">
        <f>IF(F155="","",VLOOKUP(F155,'ابنیه 95'!$A:$E,3,FALSE))</f>
        <v>مترمربع</v>
      </c>
    </row>
    <row r="156" spans="1:9" ht="12" customHeight="1">
      <c r="A156" s="551" t="s">
        <v>586</v>
      </c>
      <c r="B156" s="571" t="str">
        <f>IF(A156="","",VLOOKUP(A156,'ابنیه 95'!$A:$E,2,FALSE))</f>
        <v>تهيه وسايل و قالب‌بندي با استفاده از تخته نراد خارجي، در تيرهاي بتني در صورتي كه ارتفاع بيش از 3/5 متر و حداكثر 5/5 متر باشد.</v>
      </c>
      <c r="C156" s="572"/>
      <c r="D156" s="572"/>
      <c r="E156" s="572"/>
      <c r="F156" s="572"/>
      <c r="G156" s="572"/>
      <c r="H156" s="572"/>
      <c r="I156" s="573"/>
    </row>
    <row r="157" spans="1:9" ht="9.9" customHeight="1">
      <c r="A157" s="552"/>
      <c r="B157" s="584" t="s">
        <v>3042</v>
      </c>
      <c r="C157" s="53"/>
      <c r="D157" s="53"/>
      <c r="E157" s="54"/>
      <c r="F157" s="53"/>
      <c r="G157" s="559">
        <v>6.9</v>
      </c>
      <c r="H157" s="561">
        <v>0</v>
      </c>
      <c r="I157" s="563" t="s">
        <v>65</v>
      </c>
    </row>
    <row r="158" spans="1:9" ht="9.9" customHeight="1">
      <c r="A158" s="552"/>
      <c r="B158" s="585"/>
      <c r="C158" s="54"/>
      <c r="D158" s="54"/>
      <c r="E158" s="54"/>
      <c r="F158" s="54"/>
      <c r="G158" s="560"/>
      <c r="H158" s="562"/>
      <c r="I158" s="564"/>
    </row>
    <row r="159" spans="1:9" ht="9.9" customHeight="1">
      <c r="A159" s="552"/>
      <c r="B159" s="584" t="s">
        <v>3043</v>
      </c>
      <c r="C159" s="53"/>
      <c r="D159" s="53"/>
      <c r="E159" s="54"/>
      <c r="F159" s="53"/>
      <c r="G159" s="559">
        <v>36.68</v>
      </c>
      <c r="H159" s="561">
        <v>0</v>
      </c>
      <c r="I159" s="563" t="s">
        <v>65</v>
      </c>
    </row>
    <row r="160" spans="1:9" ht="9.9" customHeight="1">
      <c r="A160" s="552"/>
      <c r="B160" s="585"/>
      <c r="C160" s="54"/>
      <c r="D160" s="54"/>
      <c r="E160" s="54"/>
      <c r="F160" s="54"/>
      <c r="G160" s="560"/>
      <c r="H160" s="562"/>
      <c r="I160" s="564"/>
    </row>
    <row r="161" spans="1:9" ht="9.9" customHeight="1">
      <c r="A161" s="552"/>
      <c r="B161" s="584" t="s">
        <v>3044</v>
      </c>
      <c r="C161" s="53"/>
      <c r="D161" s="53"/>
      <c r="E161" s="54"/>
      <c r="F161" s="53"/>
      <c r="G161" s="559">
        <v>28.44</v>
      </c>
      <c r="H161" s="561">
        <v>0</v>
      </c>
      <c r="I161" s="563" t="s">
        <v>65</v>
      </c>
    </row>
    <row r="162" spans="1:9" ht="9.9" customHeight="1">
      <c r="A162" s="552"/>
      <c r="B162" s="585"/>
      <c r="C162" s="54"/>
      <c r="D162" s="54"/>
      <c r="E162" s="54"/>
      <c r="F162" s="54"/>
      <c r="G162" s="560"/>
      <c r="H162" s="562"/>
      <c r="I162" s="564"/>
    </row>
    <row r="163" spans="1:9" ht="9.9" customHeight="1">
      <c r="A163" s="552"/>
      <c r="B163" s="584" t="s">
        <v>3045</v>
      </c>
      <c r="C163" s="53"/>
      <c r="D163" s="53"/>
      <c r="E163" s="54"/>
      <c r="F163" s="53"/>
      <c r="G163" s="559">
        <v>49.25</v>
      </c>
      <c r="H163" s="561">
        <v>0</v>
      </c>
      <c r="I163" s="563" t="s">
        <v>65</v>
      </c>
    </row>
    <row r="164" spans="1:9" ht="9.9" customHeight="1">
      <c r="A164" s="552"/>
      <c r="B164" s="585"/>
      <c r="C164" s="54"/>
      <c r="D164" s="54"/>
      <c r="E164" s="54"/>
      <c r="F164" s="54"/>
      <c r="G164" s="560"/>
      <c r="H164" s="562"/>
      <c r="I164" s="564"/>
    </row>
    <row r="165" spans="1:9" ht="9.9" customHeight="1">
      <c r="A165" s="552"/>
      <c r="B165" s="584" t="s">
        <v>3046</v>
      </c>
      <c r="C165" s="53"/>
      <c r="D165" s="53"/>
      <c r="E165" s="54"/>
      <c r="F165" s="53"/>
      <c r="G165" s="559">
        <v>9.0299999999999994</v>
      </c>
      <c r="H165" s="561">
        <v>0</v>
      </c>
      <c r="I165" s="563" t="s">
        <v>65</v>
      </c>
    </row>
    <row r="166" spans="1:9" ht="9.9" customHeight="1">
      <c r="A166" s="552"/>
      <c r="B166" s="585"/>
      <c r="C166" s="54"/>
      <c r="D166" s="54"/>
      <c r="E166" s="54"/>
      <c r="F166" s="54"/>
      <c r="G166" s="560"/>
      <c r="H166" s="562"/>
      <c r="I166" s="564"/>
    </row>
    <row r="167" spans="1:9" ht="9.9" customHeight="1">
      <c r="A167" s="552"/>
      <c r="B167" s="584" t="s">
        <v>3047</v>
      </c>
      <c r="C167" s="53"/>
      <c r="D167" s="53"/>
      <c r="E167" s="54"/>
      <c r="F167" s="53"/>
      <c r="G167" s="559">
        <v>11.48</v>
      </c>
      <c r="H167" s="561">
        <v>0</v>
      </c>
      <c r="I167" s="563" t="s">
        <v>65</v>
      </c>
    </row>
    <row r="168" spans="1:9" ht="9.9" customHeight="1">
      <c r="A168" s="552"/>
      <c r="B168" s="585"/>
      <c r="C168" s="54"/>
      <c r="D168" s="54"/>
      <c r="E168" s="54"/>
      <c r="F168" s="54"/>
      <c r="G168" s="560"/>
      <c r="H168" s="562"/>
      <c r="I168" s="564"/>
    </row>
    <row r="169" spans="1:9" ht="9.9" customHeight="1">
      <c r="A169" s="552"/>
      <c r="B169" s="584" t="s">
        <v>3048</v>
      </c>
      <c r="C169" s="53"/>
      <c r="D169" s="53"/>
      <c r="E169" s="54"/>
      <c r="F169" s="53"/>
      <c r="G169" s="559">
        <v>18.78</v>
      </c>
      <c r="H169" s="561">
        <v>0</v>
      </c>
      <c r="I169" s="563" t="s">
        <v>65</v>
      </c>
    </row>
    <row r="170" spans="1:9" ht="9.9" customHeight="1">
      <c r="A170" s="552"/>
      <c r="B170" s="585"/>
      <c r="C170" s="54"/>
      <c r="D170" s="54"/>
      <c r="E170" s="54"/>
      <c r="F170" s="54"/>
      <c r="G170" s="560"/>
      <c r="H170" s="562"/>
      <c r="I170" s="564"/>
    </row>
    <row r="171" spans="1:9" ht="9.9" customHeight="1">
      <c r="A171" s="552"/>
      <c r="B171" s="584" t="s">
        <v>3049</v>
      </c>
      <c r="C171" s="53"/>
      <c r="D171" s="53"/>
      <c r="E171" s="54"/>
      <c r="F171" s="53"/>
      <c r="G171" s="559">
        <v>27.49</v>
      </c>
      <c r="H171" s="561">
        <v>0</v>
      </c>
      <c r="I171" s="563" t="s">
        <v>65</v>
      </c>
    </row>
    <row r="172" spans="1:9" ht="9.9" customHeight="1">
      <c r="A172" s="552"/>
      <c r="B172" s="585"/>
      <c r="C172" s="54"/>
      <c r="D172" s="54"/>
      <c r="E172" s="54"/>
      <c r="F172" s="54"/>
      <c r="G172" s="560"/>
      <c r="H172" s="562"/>
      <c r="I172" s="564"/>
    </row>
    <row r="173" spans="1:9" ht="12" customHeight="1">
      <c r="A173" s="553"/>
      <c r="B173" s="565" t="s">
        <v>33</v>
      </c>
      <c r="C173" s="566"/>
      <c r="D173" s="566"/>
      <c r="E173" s="567"/>
      <c r="F173" s="299" t="str">
        <f>A156</f>
        <v>050502</v>
      </c>
      <c r="G173" s="402">
        <f>SUM(G157:G172)</f>
        <v>188.04999999999998</v>
      </c>
      <c r="H173" s="403">
        <f>SUM(H157:H158)</f>
        <v>0</v>
      </c>
      <c r="I173" s="302" t="str">
        <f>IF(F173="","",VLOOKUP(F173,'ابنیه 95'!$A:$E,3,FALSE))</f>
        <v>مترمربع</v>
      </c>
    </row>
    <row r="174" spans="1:9" ht="12" customHeight="1">
      <c r="A174" s="586" t="s">
        <v>119</v>
      </c>
      <c r="B174" s="587"/>
      <c r="C174" s="587"/>
      <c r="D174" s="587"/>
      <c r="E174" s="587"/>
      <c r="F174" s="587"/>
      <c r="G174" s="587"/>
      <c r="H174" s="587"/>
      <c r="I174" s="588"/>
    </row>
    <row r="175" spans="1:9" ht="12" customHeight="1">
      <c r="A175" s="551" t="s">
        <v>5</v>
      </c>
      <c r="B175" s="571" t="str">
        <f>IF(A175="","",VLOOKUP(A175,'ابنیه 95'!$A:$E,2,FALSE))</f>
        <v>تهيه وسايل و قالب‌بندي با استفاده از قالب فلزي درپي‌ها و شناژهاي پي.</v>
      </c>
      <c r="C175" s="572"/>
      <c r="D175" s="572"/>
      <c r="E175" s="572"/>
      <c r="F175" s="572"/>
      <c r="G175" s="572"/>
      <c r="H175" s="572"/>
      <c r="I175" s="573"/>
    </row>
    <row r="176" spans="1:9" ht="11.4" customHeight="1">
      <c r="A176" s="612"/>
      <c r="B176" s="584" t="s">
        <v>1768</v>
      </c>
      <c r="C176" s="223"/>
      <c r="D176" s="53"/>
      <c r="E176" s="53"/>
      <c r="F176" s="53"/>
      <c r="G176" s="559">
        <v>160.43</v>
      </c>
      <c r="H176" s="561"/>
      <c r="I176" s="563" t="str">
        <f>I28</f>
        <v>صورتجلسه شماره: 2</v>
      </c>
    </row>
    <row r="177" spans="1:9" ht="11.4" customHeight="1">
      <c r="A177" s="612"/>
      <c r="B177" s="585"/>
      <c r="C177" s="53"/>
      <c r="D177" s="53"/>
      <c r="E177" s="54"/>
      <c r="F177" s="53"/>
      <c r="G177" s="560"/>
      <c r="H177" s="562"/>
      <c r="I177" s="564"/>
    </row>
    <row r="178" spans="1:9" ht="11.4" customHeight="1">
      <c r="A178" s="612"/>
      <c r="B178" s="584" t="s">
        <v>1800</v>
      </c>
      <c r="C178" s="223"/>
      <c r="D178" s="53"/>
      <c r="E178" s="53"/>
      <c r="F178" s="53"/>
      <c r="G178" s="559">
        <v>40.39</v>
      </c>
      <c r="H178" s="561"/>
      <c r="I178" s="563" t="s">
        <v>3026</v>
      </c>
    </row>
    <row r="179" spans="1:9" ht="11.4" customHeight="1">
      <c r="A179" s="612"/>
      <c r="B179" s="585"/>
      <c r="C179" s="53"/>
      <c r="D179" s="53"/>
      <c r="E179" s="54"/>
      <c r="F179" s="53"/>
      <c r="G179" s="560"/>
      <c r="H179" s="562"/>
      <c r="I179" s="564"/>
    </row>
    <row r="180" spans="1:9" ht="11.4" customHeight="1">
      <c r="A180" s="612"/>
      <c r="B180" s="584" t="s">
        <v>1771</v>
      </c>
      <c r="C180" s="223"/>
      <c r="D180" s="53"/>
      <c r="E180" s="53"/>
      <c r="F180" s="53"/>
      <c r="G180" s="559">
        <v>179.56</v>
      </c>
      <c r="H180" s="561"/>
      <c r="I180" s="563" t="s">
        <v>3027</v>
      </c>
    </row>
    <row r="181" spans="1:9" ht="11.4" customHeight="1">
      <c r="A181" s="612"/>
      <c r="B181" s="585"/>
      <c r="C181" s="53"/>
      <c r="D181" s="53"/>
      <c r="E181" s="54"/>
      <c r="F181" s="53"/>
      <c r="G181" s="560"/>
      <c r="H181" s="562"/>
      <c r="I181" s="564"/>
    </row>
    <row r="182" spans="1:9" ht="11.4" customHeight="1">
      <c r="A182" s="612"/>
      <c r="B182" s="584" t="s">
        <v>1772</v>
      </c>
      <c r="C182" s="223"/>
      <c r="D182" s="53"/>
      <c r="E182" s="53"/>
      <c r="F182" s="53"/>
      <c r="G182" s="559">
        <v>185.02</v>
      </c>
      <c r="H182" s="561"/>
      <c r="I182" s="563" t="s">
        <v>3028</v>
      </c>
    </row>
    <row r="183" spans="1:9" ht="11.4" customHeight="1">
      <c r="A183" s="612"/>
      <c r="B183" s="585"/>
      <c r="C183" s="53"/>
      <c r="D183" s="53"/>
      <c r="E183" s="54"/>
      <c r="F183" s="53"/>
      <c r="G183" s="560"/>
      <c r="H183" s="562"/>
      <c r="I183" s="564"/>
    </row>
    <row r="184" spans="1:9" ht="11.4" customHeight="1">
      <c r="A184" s="612"/>
      <c r="B184" s="584" t="s">
        <v>1773</v>
      </c>
      <c r="C184" s="223"/>
      <c r="D184" s="53"/>
      <c r="E184" s="53"/>
      <c r="F184" s="53"/>
      <c r="G184" s="559">
        <v>235.74</v>
      </c>
      <c r="H184" s="561"/>
      <c r="I184" s="563" t="s">
        <v>3029</v>
      </c>
    </row>
    <row r="185" spans="1:9" ht="11.4" customHeight="1">
      <c r="A185" s="612"/>
      <c r="B185" s="585"/>
      <c r="C185" s="53"/>
      <c r="D185" s="53"/>
      <c r="E185" s="54"/>
      <c r="F185" s="53"/>
      <c r="G185" s="560"/>
      <c r="H185" s="562"/>
      <c r="I185" s="564"/>
    </row>
    <row r="186" spans="1:9" ht="11.4" customHeight="1">
      <c r="A186" s="612"/>
      <c r="B186" s="584" t="s">
        <v>1774</v>
      </c>
      <c r="C186" s="223"/>
      <c r="D186" s="53"/>
      <c r="E186" s="53"/>
      <c r="F186" s="53"/>
      <c r="G186" s="559">
        <v>49.01</v>
      </c>
      <c r="H186" s="561"/>
      <c r="I186" s="563" t="s">
        <v>3030</v>
      </c>
    </row>
    <row r="187" spans="1:9" ht="11.4" customHeight="1">
      <c r="A187" s="612"/>
      <c r="B187" s="585"/>
      <c r="C187" s="53"/>
      <c r="D187" s="53"/>
      <c r="E187" s="54"/>
      <c r="F187" s="53"/>
      <c r="G187" s="560"/>
      <c r="H187" s="562"/>
      <c r="I187" s="564"/>
    </row>
    <row r="188" spans="1:9" ht="11.4" customHeight="1">
      <c r="A188" s="612"/>
      <c r="B188" s="584" t="s">
        <v>1775</v>
      </c>
      <c r="C188" s="223"/>
      <c r="D188" s="53"/>
      <c r="E188" s="53"/>
      <c r="F188" s="53"/>
      <c r="G188" s="559">
        <v>70.239999999999995</v>
      </c>
      <c r="H188" s="561"/>
      <c r="I188" s="563" t="s">
        <v>3035</v>
      </c>
    </row>
    <row r="189" spans="1:9" ht="11.4" customHeight="1">
      <c r="A189" s="612"/>
      <c r="B189" s="585"/>
      <c r="C189" s="53"/>
      <c r="D189" s="53"/>
      <c r="E189" s="54"/>
      <c r="F189" s="53"/>
      <c r="G189" s="560"/>
      <c r="H189" s="562"/>
      <c r="I189" s="564"/>
    </row>
    <row r="190" spans="1:9" ht="11.4" customHeight="1">
      <c r="A190" s="612"/>
      <c r="B190" s="584" t="s">
        <v>1776</v>
      </c>
      <c r="C190" s="223"/>
      <c r="D190" s="53"/>
      <c r="E190" s="53"/>
      <c r="F190" s="53"/>
      <c r="G190" s="559">
        <v>98.57</v>
      </c>
      <c r="H190" s="561"/>
      <c r="I190" s="563" t="s">
        <v>3036</v>
      </c>
    </row>
    <row r="191" spans="1:9" ht="11.4" customHeight="1">
      <c r="A191" s="612"/>
      <c r="B191" s="585"/>
      <c r="C191" s="53"/>
      <c r="D191" s="53"/>
      <c r="E191" s="54"/>
      <c r="F191" s="53"/>
      <c r="G191" s="560"/>
      <c r="H191" s="562"/>
      <c r="I191" s="564"/>
    </row>
    <row r="192" spans="1:9" ht="11.4" customHeight="1">
      <c r="A192" s="612"/>
      <c r="B192" s="584" t="s">
        <v>1777</v>
      </c>
      <c r="C192" s="223"/>
      <c r="D192" s="53"/>
      <c r="E192" s="53"/>
      <c r="F192" s="53"/>
      <c r="G192" s="559">
        <v>138.08000000000001</v>
      </c>
      <c r="H192" s="561"/>
      <c r="I192" s="563" t="s">
        <v>3037</v>
      </c>
    </row>
    <row r="193" spans="1:9" ht="11.4" customHeight="1">
      <c r="A193" s="612"/>
      <c r="B193" s="585"/>
      <c r="C193" s="53"/>
      <c r="D193" s="53"/>
      <c r="E193" s="54"/>
      <c r="F193" s="53"/>
      <c r="G193" s="560"/>
      <c r="H193" s="562"/>
      <c r="I193" s="564"/>
    </row>
    <row r="194" spans="1:9" ht="12" customHeight="1">
      <c r="A194" s="613"/>
      <c r="B194" s="565" t="s">
        <v>33</v>
      </c>
      <c r="C194" s="566"/>
      <c r="D194" s="566"/>
      <c r="E194" s="567"/>
      <c r="F194" s="299" t="str">
        <f>A175</f>
        <v>060101</v>
      </c>
      <c r="G194" s="300">
        <f>SUM(G176:G193)</f>
        <v>1157.04</v>
      </c>
      <c r="H194" s="301">
        <f>SUM(H176:H179)</f>
        <v>0</v>
      </c>
      <c r="I194" s="302" t="str">
        <f>IF(F194="","",VLOOKUP(F194,'ابنیه 95'!$A:$E,3,FALSE))</f>
        <v>مترمربع</v>
      </c>
    </row>
    <row r="195" spans="1:9" ht="12" customHeight="1">
      <c r="A195" s="551" t="s">
        <v>128</v>
      </c>
      <c r="B195" s="571" t="str">
        <f>IF(A195="","",VLOOKUP(A195,'ابنیه 95'!$A:$E,2,FALSE))</f>
        <v>تهيه وسايل و قالب‌بندي با استفاده از قالب فلزي در ستون‌ها و شناژهاي قايم با مقطع چهار ضلعي تا ارتفاع حداكثر 3/5 متر.</v>
      </c>
      <c r="C195" s="572"/>
      <c r="D195" s="572"/>
      <c r="E195" s="572"/>
      <c r="F195" s="572"/>
      <c r="G195" s="572"/>
      <c r="H195" s="572"/>
      <c r="I195" s="573"/>
    </row>
    <row r="196" spans="1:9" ht="12" customHeight="1">
      <c r="A196" s="612"/>
      <c r="B196" s="584" t="s">
        <v>3038</v>
      </c>
      <c r="C196" s="53"/>
      <c r="D196" s="53"/>
      <c r="E196" s="53"/>
      <c r="F196" s="53"/>
      <c r="G196" s="559">
        <v>666.12</v>
      </c>
      <c r="H196" s="561"/>
      <c r="I196" s="563" t="s">
        <v>3039</v>
      </c>
    </row>
    <row r="197" spans="1:9" ht="12" customHeight="1">
      <c r="A197" s="612"/>
      <c r="B197" s="585"/>
      <c r="C197" s="53"/>
      <c r="D197" s="53"/>
      <c r="E197" s="54"/>
      <c r="F197" s="53"/>
      <c r="G197" s="560"/>
      <c r="H197" s="562"/>
      <c r="I197" s="564"/>
    </row>
    <row r="198" spans="1:9" ht="12" customHeight="1">
      <c r="A198" s="612"/>
      <c r="B198" s="584" t="s">
        <v>1801</v>
      </c>
      <c r="C198" s="53"/>
      <c r="D198" s="53"/>
      <c r="E198" s="53"/>
      <c r="F198" s="53"/>
      <c r="G198" s="559">
        <v>31.92</v>
      </c>
      <c r="H198" s="561"/>
      <c r="I198" s="563" t="s">
        <v>65</v>
      </c>
    </row>
    <row r="199" spans="1:9" ht="12" customHeight="1">
      <c r="A199" s="612"/>
      <c r="B199" s="585"/>
      <c r="C199" s="53"/>
      <c r="D199" s="53"/>
      <c r="E199" s="54"/>
      <c r="F199" s="53"/>
      <c r="G199" s="560"/>
      <c r="H199" s="562"/>
      <c r="I199" s="564"/>
    </row>
    <row r="200" spans="1:9" ht="12" customHeight="1">
      <c r="A200" s="612"/>
      <c r="B200" s="584" t="s">
        <v>1802</v>
      </c>
      <c r="C200" s="53"/>
      <c r="D200" s="53"/>
      <c r="E200" s="53"/>
      <c r="F200" s="53"/>
      <c r="G200" s="559">
        <v>169.64</v>
      </c>
      <c r="H200" s="561"/>
      <c r="I200" s="563" t="s">
        <v>65</v>
      </c>
    </row>
    <row r="201" spans="1:9" ht="12" customHeight="1">
      <c r="A201" s="612"/>
      <c r="B201" s="585"/>
      <c r="C201" s="53"/>
      <c r="D201" s="53"/>
      <c r="E201" s="54"/>
      <c r="F201" s="53"/>
      <c r="G201" s="560"/>
      <c r="H201" s="562"/>
      <c r="I201" s="564"/>
    </row>
    <row r="202" spans="1:9" ht="12" customHeight="1">
      <c r="A202" s="612"/>
      <c r="B202" s="584" t="s">
        <v>1803</v>
      </c>
      <c r="C202" s="53"/>
      <c r="D202" s="53"/>
      <c r="E202" s="53"/>
      <c r="F202" s="53"/>
      <c r="G202" s="559">
        <v>131.56</v>
      </c>
      <c r="H202" s="561"/>
      <c r="I202" s="563" t="s">
        <v>65</v>
      </c>
    </row>
    <row r="203" spans="1:9" ht="12" customHeight="1">
      <c r="A203" s="612"/>
      <c r="B203" s="585"/>
      <c r="C203" s="53"/>
      <c r="D203" s="53"/>
      <c r="E203" s="54"/>
      <c r="F203" s="53"/>
      <c r="G203" s="560"/>
      <c r="H203" s="562"/>
      <c r="I203" s="564"/>
    </row>
    <row r="204" spans="1:9" ht="12" customHeight="1">
      <c r="A204" s="612"/>
      <c r="B204" s="584" t="s">
        <v>1804</v>
      </c>
      <c r="C204" s="53"/>
      <c r="D204" s="53"/>
      <c r="E204" s="53"/>
      <c r="F204" s="53"/>
      <c r="G204" s="559">
        <v>227.83</v>
      </c>
      <c r="H204" s="561"/>
      <c r="I204" s="563" t="s">
        <v>65</v>
      </c>
    </row>
    <row r="205" spans="1:9" ht="12" customHeight="1">
      <c r="A205" s="612"/>
      <c r="B205" s="585"/>
      <c r="C205" s="53"/>
      <c r="D205" s="53"/>
      <c r="E205" s="54"/>
      <c r="F205" s="53"/>
      <c r="G205" s="560"/>
      <c r="H205" s="562"/>
      <c r="I205" s="564"/>
    </row>
    <row r="206" spans="1:9" ht="12" customHeight="1">
      <c r="A206" s="612"/>
      <c r="B206" s="584" t="s">
        <v>1805</v>
      </c>
      <c r="C206" s="53"/>
      <c r="D206" s="53"/>
      <c r="E206" s="53"/>
      <c r="F206" s="53"/>
      <c r="G206" s="559">
        <v>41.79</v>
      </c>
      <c r="H206" s="561"/>
      <c r="I206" s="563" t="s">
        <v>65</v>
      </c>
    </row>
    <row r="207" spans="1:9" ht="12" customHeight="1">
      <c r="A207" s="612"/>
      <c r="B207" s="585"/>
      <c r="C207" s="53"/>
      <c r="D207" s="53"/>
      <c r="E207" s="54"/>
      <c r="F207" s="53"/>
      <c r="G207" s="560"/>
      <c r="H207" s="562"/>
      <c r="I207" s="564"/>
    </row>
    <row r="208" spans="1:9" ht="12" customHeight="1">
      <c r="A208" s="612"/>
      <c r="B208" s="584" t="s">
        <v>1806</v>
      </c>
      <c r="C208" s="53"/>
      <c r="D208" s="53"/>
      <c r="E208" s="53"/>
      <c r="F208" s="53"/>
      <c r="G208" s="559">
        <v>53.09</v>
      </c>
      <c r="H208" s="561"/>
      <c r="I208" s="563" t="s">
        <v>65</v>
      </c>
    </row>
    <row r="209" spans="1:9" ht="12" customHeight="1">
      <c r="A209" s="612"/>
      <c r="B209" s="585"/>
      <c r="C209" s="53"/>
      <c r="D209" s="53"/>
      <c r="E209" s="54"/>
      <c r="F209" s="53"/>
      <c r="G209" s="560"/>
      <c r="H209" s="562"/>
      <c r="I209" s="564"/>
    </row>
    <row r="210" spans="1:9" ht="12" customHeight="1">
      <c r="A210" s="612"/>
      <c r="B210" s="584" t="s">
        <v>1807</v>
      </c>
      <c r="C210" s="53"/>
      <c r="D210" s="53"/>
      <c r="E210" s="53"/>
      <c r="F210" s="53"/>
      <c r="G210" s="559">
        <v>86.9</v>
      </c>
      <c r="H210" s="561"/>
      <c r="I210" s="563" t="s">
        <v>65</v>
      </c>
    </row>
    <row r="211" spans="1:9" ht="12" customHeight="1">
      <c r="A211" s="612"/>
      <c r="B211" s="585"/>
      <c r="C211" s="53"/>
      <c r="D211" s="53"/>
      <c r="E211" s="54"/>
      <c r="F211" s="53"/>
      <c r="G211" s="560"/>
      <c r="H211" s="562"/>
      <c r="I211" s="564"/>
    </row>
    <row r="212" spans="1:9" ht="12" customHeight="1">
      <c r="A212" s="612"/>
      <c r="B212" s="584" t="s">
        <v>1808</v>
      </c>
      <c r="C212" s="53"/>
      <c r="D212" s="53"/>
      <c r="E212" s="53"/>
      <c r="F212" s="53"/>
      <c r="G212" s="559">
        <v>127.17</v>
      </c>
      <c r="H212" s="561"/>
      <c r="I212" s="563" t="s">
        <v>65</v>
      </c>
    </row>
    <row r="213" spans="1:9" ht="12" customHeight="1">
      <c r="A213" s="612"/>
      <c r="B213" s="585"/>
      <c r="C213" s="53"/>
      <c r="D213" s="53"/>
      <c r="E213" s="54"/>
      <c r="F213" s="53"/>
      <c r="G213" s="560"/>
      <c r="H213" s="562"/>
      <c r="I213" s="564"/>
    </row>
    <row r="214" spans="1:9" ht="12" customHeight="1">
      <c r="A214" s="612"/>
      <c r="B214" s="584" t="s">
        <v>1810</v>
      </c>
      <c r="C214" s="53"/>
      <c r="D214" s="53"/>
      <c r="E214" s="53"/>
      <c r="F214" s="53"/>
      <c r="G214" s="559">
        <v>33.04</v>
      </c>
      <c r="H214" s="561"/>
      <c r="I214" s="563" t="s">
        <v>65</v>
      </c>
    </row>
    <row r="215" spans="1:9" ht="12" customHeight="1">
      <c r="A215" s="612"/>
      <c r="B215" s="585"/>
      <c r="C215" s="53"/>
      <c r="D215" s="53"/>
      <c r="E215" s="54"/>
      <c r="F215" s="53"/>
      <c r="G215" s="560"/>
      <c r="H215" s="562"/>
      <c r="I215" s="564"/>
    </row>
    <row r="216" spans="1:9" ht="12" customHeight="1">
      <c r="A216" s="612"/>
      <c r="B216" s="584" t="s">
        <v>1811</v>
      </c>
      <c r="C216" s="53"/>
      <c r="D216" s="53"/>
      <c r="E216" s="53"/>
      <c r="F216" s="53"/>
      <c r="G216" s="559">
        <v>175.6</v>
      </c>
      <c r="H216" s="561"/>
      <c r="I216" s="563" t="s">
        <v>65</v>
      </c>
    </row>
    <row r="217" spans="1:9" ht="12" customHeight="1">
      <c r="A217" s="612"/>
      <c r="B217" s="585"/>
      <c r="C217" s="53"/>
      <c r="D217" s="53"/>
      <c r="E217" s="54"/>
      <c r="F217" s="53"/>
      <c r="G217" s="560"/>
      <c r="H217" s="562"/>
      <c r="I217" s="564"/>
    </row>
    <row r="218" spans="1:9" ht="12" customHeight="1">
      <c r="A218" s="612"/>
      <c r="B218" s="584" t="s">
        <v>1812</v>
      </c>
      <c r="C218" s="53"/>
      <c r="D218" s="53"/>
      <c r="E218" s="53"/>
      <c r="F218" s="53"/>
      <c r="G218" s="559">
        <v>136.16999999999999</v>
      </c>
      <c r="H218" s="561"/>
      <c r="I218" s="563" t="s">
        <v>65</v>
      </c>
    </row>
    <row r="219" spans="1:9" ht="12" customHeight="1">
      <c r="A219" s="612"/>
      <c r="B219" s="585"/>
      <c r="C219" s="53"/>
      <c r="D219" s="53"/>
      <c r="E219" s="54"/>
      <c r="F219" s="53"/>
      <c r="G219" s="560"/>
      <c r="H219" s="562"/>
      <c r="I219" s="564"/>
    </row>
    <row r="220" spans="1:9" ht="12" customHeight="1">
      <c r="A220" s="612"/>
      <c r="B220" s="584" t="s">
        <v>1813</v>
      </c>
      <c r="C220" s="53"/>
      <c r="D220" s="53"/>
      <c r="E220" s="53"/>
      <c r="F220" s="53"/>
      <c r="G220" s="559">
        <v>235.82</v>
      </c>
      <c r="H220" s="561"/>
      <c r="I220" s="563" t="s">
        <v>65</v>
      </c>
    </row>
    <row r="221" spans="1:9" ht="12" customHeight="1">
      <c r="A221" s="612"/>
      <c r="B221" s="585"/>
      <c r="C221" s="53"/>
      <c r="D221" s="53"/>
      <c r="E221" s="54"/>
      <c r="F221" s="53"/>
      <c r="G221" s="560"/>
      <c r="H221" s="562"/>
      <c r="I221" s="564"/>
    </row>
    <row r="222" spans="1:9" ht="12" customHeight="1">
      <c r="A222" s="612"/>
      <c r="B222" s="584" t="s">
        <v>1814</v>
      </c>
      <c r="C222" s="53"/>
      <c r="D222" s="53"/>
      <c r="E222" s="53"/>
      <c r="F222" s="53"/>
      <c r="G222" s="559">
        <v>43.26</v>
      </c>
      <c r="H222" s="561"/>
      <c r="I222" s="563" t="s">
        <v>65</v>
      </c>
    </row>
    <row r="223" spans="1:9" ht="12" customHeight="1">
      <c r="A223" s="612"/>
      <c r="B223" s="585"/>
      <c r="C223" s="53"/>
      <c r="D223" s="53"/>
      <c r="E223" s="54"/>
      <c r="F223" s="53"/>
      <c r="G223" s="560"/>
      <c r="H223" s="562"/>
      <c r="I223" s="564"/>
    </row>
    <row r="224" spans="1:9" ht="11.25" customHeight="1">
      <c r="A224" s="612"/>
      <c r="B224" s="584" t="s">
        <v>1815</v>
      </c>
      <c r="C224" s="53"/>
      <c r="D224" s="53"/>
      <c r="E224" s="53"/>
      <c r="F224" s="53"/>
      <c r="G224" s="559">
        <v>54.95</v>
      </c>
      <c r="H224" s="561"/>
      <c r="I224" s="563" t="s">
        <v>65</v>
      </c>
    </row>
    <row r="225" spans="1:9" ht="11.25" customHeight="1">
      <c r="A225" s="612"/>
      <c r="B225" s="585"/>
      <c r="C225" s="53"/>
      <c r="D225" s="53"/>
      <c r="E225" s="54"/>
      <c r="F225" s="53"/>
      <c r="G225" s="560"/>
      <c r="H225" s="562"/>
      <c r="I225" s="564"/>
    </row>
    <row r="226" spans="1:9" ht="11.25" customHeight="1">
      <c r="A226" s="612"/>
      <c r="B226" s="584" t="s">
        <v>1816</v>
      </c>
      <c r="C226" s="53"/>
      <c r="D226" s="53"/>
      <c r="E226" s="53"/>
      <c r="F226" s="53"/>
      <c r="G226" s="559">
        <v>89.95</v>
      </c>
      <c r="H226" s="561"/>
      <c r="I226" s="563" t="s">
        <v>65</v>
      </c>
    </row>
    <row r="227" spans="1:9" ht="11.25" customHeight="1">
      <c r="A227" s="612"/>
      <c r="B227" s="585"/>
      <c r="C227" s="53"/>
      <c r="D227" s="53"/>
      <c r="E227" s="54"/>
      <c r="F227" s="53"/>
      <c r="G227" s="560"/>
      <c r="H227" s="562"/>
      <c r="I227" s="564"/>
    </row>
    <row r="228" spans="1:9" ht="11.25" customHeight="1">
      <c r="A228" s="612"/>
      <c r="B228" s="584" t="s">
        <v>1817</v>
      </c>
      <c r="C228" s="53"/>
      <c r="D228" s="53"/>
      <c r="E228" s="53"/>
      <c r="F228" s="53"/>
      <c r="G228" s="559">
        <v>131.63999999999999</v>
      </c>
      <c r="H228" s="561"/>
      <c r="I228" s="563" t="s">
        <v>65</v>
      </c>
    </row>
    <row r="229" spans="1:9" ht="11.25" customHeight="1">
      <c r="A229" s="612"/>
      <c r="B229" s="585"/>
      <c r="C229" s="53"/>
      <c r="D229" s="53"/>
      <c r="E229" s="54"/>
      <c r="F229" s="53"/>
      <c r="G229" s="560"/>
      <c r="H229" s="562"/>
      <c r="I229" s="564"/>
    </row>
    <row r="230" spans="1:9" ht="12" customHeight="1">
      <c r="A230" s="613"/>
      <c r="B230" s="565" t="s">
        <v>33</v>
      </c>
      <c r="C230" s="566"/>
      <c r="D230" s="566"/>
      <c r="E230" s="567"/>
      <c r="F230" s="299" t="str">
        <f>A195</f>
        <v>060301</v>
      </c>
      <c r="G230" s="300">
        <f>SUM(G196:G229)</f>
        <v>2436.4499999999998</v>
      </c>
      <c r="H230" s="301">
        <f>SUM(H196:H229)</f>
        <v>0</v>
      </c>
      <c r="I230" s="302" t="str">
        <f>IF(F230="","",VLOOKUP(F230,'ابنیه 95'!$A:$E,3,FALSE))</f>
        <v>مترمربع</v>
      </c>
    </row>
    <row r="231" spans="1:9" ht="11.1" customHeight="1">
      <c r="A231" s="551" t="s">
        <v>205</v>
      </c>
      <c r="B231" s="571" t="str">
        <f>IF(A231="","",VLOOKUP(A231,'ابنیه 95'!$A:$E,2,FALSE))</f>
        <v>تهيه وسايل و قالب‌بندي با استفاده از قالب فلزي در ستون‌ها و شناژهاي قايم با مقطع چهار ضلعي كه ارتفاع بيش از 5/5 متر و حداكثر 7/5 متر باشد.</v>
      </c>
      <c r="C231" s="572"/>
      <c r="D231" s="572"/>
      <c r="E231" s="572"/>
      <c r="F231" s="572"/>
      <c r="G231" s="572"/>
      <c r="H231" s="572"/>
      <c r="I231" s="573"/>
    </row>
    <row r="232" spans="1:9" ht="11.1" customHeight="1">
      <c r="A232" s="612"/>
      <c r="B232" s="584" t="str">
        <f>B214</f>
        <v xml:space="preserve"> ستونهای طبقه اول  مرحله دوم ZONE Z1</v>
      </c>
      <c r="C232" s="53"/>
      <c r="D232" s="53"/>
      <c r="E232" s="53"/>
      <c r="F232" s="53"/>
      <c r="G232" s="559">
        <v>33.04</v>
      </c>
      <c r="H232" s="561"/>
      <c r="I232" s="563" t="str">
        <f>I214</f>
        <v>علی الحساب</v>
      </c>
    </row>
    <row r="233" spans="1:9" ht="11.1" customHeight="1">
      <c r="A233" s="612"/>
      <c r="B233" s="585"/>
      <c r="C233" s="53"/>
      <c r="D233" s="53"/>
      <c r="E233" s="54"/>
      <c r="F233" s="53"/>
      <c r="G233" s="560"/>
      <c r="H233" s="562"/>
      <c r="I233" s="564"/>
    </row>
    <row r="234" spans="1:9" ht="11.1" customHeight="1">
      <c r="A234" s="612"/>
      <c r="B234" s="584" t="str">
        <f>B216</f>
        <v xml:space="preserve"> ستونهای طبقه اول  مرحله دوم ZONE Z2</v>
      </c>
      <c r="C234" s="53"/>
      <c r="D234" s="53"/>
      <c r="E234" s="53"/>
      <c r="F234" s="53"/>
      <c r="G234" s="559">
        <v>175.6</v>
      </c>
      <c r="H234" s="561"/>
      <c r="I234" s="563" t="str">
        <f>I216</f>
        <v>علی الحساب</v>
      </c>
    </row>
    <row r="235" spans="1:9" ht="11.1" customHeight="1">
      <c r="A235" s="612"/>
      <c r="B235" s="585"/>
      <c r="C235" s="53"/>
      <c r="D235" s="53"/>
      <c r="E235" s="54"/>
      <c r="F235" s="53"/>
      <c r="G235" s="560"/>
      <c r="H235" s="562"/>
      <c r="I235" s="564"/>
    </row>
    <row r="236" spans="1:9" ht="11.1" customHeight="1">
      <c r="A236" s="612"/>
      <c r="B236" s="584" t="str">
        <f>B218</f>
        <v xml:space="preserve"> ستونهای طبقه اول  مرحله دوم ZONE Z3</v>
      </c>
      <c r="C236" s="53"/>
      <c r="D236" s="53"/>
      <c r="E236" s="53"/>
      <c r="F236" s="53"/>
      <c r="G236" s="559">
        <v>136.16999999999999</v>
      </c>
      <c r="H236" s="561"/>
      <c r="I236" s="563" t="str">
        <f>I218</f>
        <v>علی الحساب</v>
      </c>
    </row>
    <row r="237" spans="1:9" ht="11.1" customHeight="1">
      <c r="A237" s="612"/>
      <c r="B237" s="585"/>
      <c r="C237" s="53"/>
      <c r="D237" s="53"/>
      <c r="E237" s="54"/>
      <c r="F237" s="53"/>
      <c r="G237" s="560"/>
      <c r="H237" s="562"/>
      <c r="I237" s="564"/>
    </row>
    <row r="238" spans="1:9" ht="11.1" customHeight="1">
      <c r="A238" s="612"/>
      <c r="B238" s="584" t="str">
        <f>B220</f>
        <v xml:space="preserve"> ستونهای طبقه اول  مرحله دوم ZONE Z4</v>
      </c>
      <c r="C238" s="53"/>
      <c r="D238" s="53"/>
      <c r="E238" s="53"/>
      <c r="F238" s="53"/>
      <c r="G238" s="559">
        <v>235.82</v>
      </c>
      <c r="H238" s="561"/>
      <c r="I238" s="563" t="str">
        <f>I220</f>
        <v>علی الحساب</v>
      </c>
    </row>
    <row r="239" spans="1:9" ht="11.1" customHeight="1">
      <c r="A239" s="612"/>
      <c r="B239" s="585"/>
      <c r="C239" s="53"/>
      <c r="D239" s="53"/>
      <c r="E239" s="54"/>
      <c r="F239" s="53"/>
      <c r="G239" s="560"/>
      <c r="H239" s="562"/>
      <c r="I239" s="564"/>
    </row>
    <row r="240" spans="1:9" ht="11.1" customHeight="1">
      <c r="A240" s="612"/>
      <c r="B240" s="584" t="str">
        <f>B222</f>
        <v xml:space="preserve"> ستونهای طبقه اول  مرحله دوم ZONE Z5</v>
      </c>
      <c r="C240" s="53"/>
      <c r="D240" s="53"/>
      <c r="E240" s="53"/>
      <c r="F240" s="53"/>
      <c r="G240" s="559">
        <v>43.26</v>
      </c>
      <c r="H240" s="561"/>
      <c r="I240" s="563" t="str">
        <f>I222</f>
        <v>علی الحساب</v>
      </c>
    </row>
    <row r="241" spans="1:9" ht="11.1" customHeight="1">
      <c r="A241" s="612"/>
      <c r="B241" s="585"/>
      <c r="C241" s="53"/>
      <c r="D241" s="53"/>
      <c r="E241" s="54"/>
      <c r="F241" s="53"/>
      <c r="G241" s="560"/>
      <c r="H241" s="562"/>
      <c r="I241" s="564"/>
    </row>
    <row r="242" spans="1:9" ht="11.1" customHeight="1">
      <c r="A242" s="612"/>
      <c r="B242" s="584" t="str">
        <f>B224</f>
        <v xml:space="preserve"> ستونهای طبقه اول  مرحله دوم ZONE Y1</v>
      </c>
      <c r="C242" s="53"/>
      <c r="D242" s="53"/>
      <c r="E242" s="53"/>
      <c r="F242" s="53"/>
      <c r="G242" s="559">
        <v>54.95</v>
      </c>
      <c r="H242" s="561"/>
      <c r="I242" s="563" t="str">
        <f>I224</f>
        <v>علی الحساب</v>
      </c>
    </row>
    <row r="243" spans="1:9" ht="11.1" customHeight="1">
      <c r="A243" s="612"/>
      <c r="B243" s="585"/>
      <c r="C243" s="53"/>
      <c r="D243" s="53"/>
      <c r="E243" s="54"/>
      <c r="F243" s="53"/>
      <c r="G243" s="560"/>
      <c r="H243" s="562"/>
      <c r="I243" s="564"/>
    </row>
    <row r="244" spans="1:9" ht="11.1" customHeight="1">
      <c r="A244" s="612"/>
      <c r="B244" s="584" t="str">
        <f>B226</f>
        <v xml:space="preserve"> ستونهای طبقه اول  مرحله دوم ZONE Y2</v>
      </c>
      <c r="C244" s="53"/>
      <c r="D244" s="53"/>
      <c r="E244" s="53"/>
      <c r="F244" s="53"/>
      <c r="G244" s="559">
        <v>89.95</v>
      </c>
      <c r="H244" s="561"/>
      <c r="I244" s="563" t="str">
        <f>I226</f>
        <v>علی الحساب</v>
      </c>
    </row>
    <row r="245" spans="1:9" ht="11.1" customHeight="1">
      <c r="A245" s="612"/>
      <c r="B245" s="585"/>
      <c r="C245" s="53"/>
      <c r="D245" s="53"/>
      <c r="E245" s="54"/>
      <c r="F245" s="53"/>
      <c r="G245" s="560"/>
      <c r="H245" s="562"/>
      <c r="I245" s="564"/>
    </row>
    <row r="246" spans="1:9" ht="11.1" customHeight="1">
      <c r="A246" s="612"/>
      <c r="B246" s="584" t="str">
        <f>B228</f>
        <v xml:space="preserve"> ستونهای طبقه اول  مرحله دوم ZONE Y3</v>
      </c>
      <c r="C246" s="53"/>
      <c r="D246" s="53"/>
      <c r="E246" s="53"/>
      <c r="F246" s="53"/>
      <c r="G246" s="559">
        <v>131.63999999999999</v>
      </c>
      <c r="H246" s="561"/>
      <c r="I246" s="563" t="str">
        <f>I228</f>
        <v>علی الحساب</v>
      </c>
    </row>
    <row r="247" spans="1:9" ht="11.1" customHeight="1">
      <c r="A247" s="612"/>
      <c r="B247" s="585"/>
      <c r="C247" s="53"/>
      <c r="D247" s="53"/>
      <c r="E247" s="54"/>
      <c r="F247" s="53"/>
      <c r="G247" s="560"/>
      <c r="H247" s="562"/>
      <c r="I247" s="564"/>
    </row>
    <row r="248" spans="1:9" ht="11.1" customHeight="1">
      <c r="A248" s="613"/>
      <c r="B248" s="565" t="s">
        <v>33</v>
      </c>
      <c r="C248" s="566"/>
      <c r="D248" s="566"/>
      <c r="E248" s="567"/>
      <c r="F248" s="299" t="str">
        <f>A231</f>
        <v>060303</v>
      </c>
      <c r="G248" s="300">
        <f>SUM(G232:G247)</f>
        <v>900.43</v>
      </c>
      <c r="H248" s="301">
        <f>SUM(H232:H233)</f>
        <v>0</v>
      </c>
      <c r="I248" s="302" t="str">
        <f>IF(F248="","",VLOOKUP(F248,'ابنیه 95'!$A:$E,3,FALSE))</f>
        <v>مترمربع</v>
      </c>
    </row>
    <row r="249" spans="1:9" ht="11.1" customHeight="1">
      <c r="A249" s="551" t="s">
        <v>165</v>
      </c>
      <c r="B249" s="571" t="str">
        <f>IF(A249="","",VLOOKUP(A249,'ابنیه 95'!$A:$E,2,FALSE))</f>
        <v>تهيه وسايل و قالب‌بندي با استفاده از قالب فلزي در تيرهاي بتني تا ارتفاع حداكثر 3/5 متر.</v>
      </c>
      <c r="C249" s="572"/>
      <c r="D249" s="572"/>
      <c r="E249" s="572"/>
      <c r="F249" s="572"/>
      <c r="G249" s="572"/>
      <c r="H249" s="572"/>
      <c r="I249" s="573"/>
    </row>
    <row r="250" spans="1:9" ht="11.1" customHeight="1">
      <c r="A250" s="612"/>
      <c r="B250" s="584" t="s">
        <v>1792</v>
      </c>
      <c r="C250" s="53"/>
      <c r="D250" s="53"/>
      <c r="E250" s="53"/>
      <c r="F250" s="53"/>
      <c r="G250" s="559">
        <v>38.659999999999997</v>
      </c>
      <c r="H250" s="561"/>
      <c r="I250" s="563" t="s">
        <v>65</v>
      </c>
    </row>
    <row r="251" spans="1:9" ht="11.1" customHeight="1">
      <c r="A251" s="612"/>
      <c r="B251" s="585"/>
      <c r="C251" s="53"/>
      <c r="D251" s="53"/>
      <c r="E251" s="54"/>
      <c r="F251" s="53"/>
      <c r="G251" s="560"/>
      <c r="H251" s="562"/>
      <c r="I251" s="564"/>
    </row>
    <row r="252" spans="1:9" ht="11.1" customHeight="1">
      <c r="A252" s="612"/>
      <c r="B252" s="584" t="s">
        <v>1793</v>
      </c>
      <c r="C252" s="53"/>
      <c r="D252" s="53"/>
      <c r="E252" s="53"/>
      <c r="F252" s="53"/>
      <c r="G252" s="559">
        <v>205.46</v>
      </c>
      <c r="H252" s="561"/>
      <c r="I252" s="563" t="s">
        <v>65</v>
      </c>
    </row>
    <row r="253" spans="1:9" ht="11.1" customHeight="1">
      <c r="A253" s="612"/>
      <c r="B253" s="585"/>
      <c r="C253" s="53"/>
      <c r="D253" s="53"/>
      <c r="E253" s="54"/>
      <c r="F253" s="53"/>
      <c r="G253" s="560"/>
      <c r="H253" s="562"/>
      <c r="I253" s="564"/>
    </row>
    <row r="254" spans="1:9" ht="11.1" customHeight="1">
      <c r="A254" s="612"/>
      <c r="B254" s="584" t="s">
        <v>1794</v>
      </c>
      <c r="C254" s="53"/>
      <c r="D254" s="53"/>
      <c r="E254" s="53"/>
      <c r="F254" s="53"/>
      <c r="G254" s="559">
        <v>159.33000000000001</v>
      </c>
      <c r="H254" s="561"/>
      <c r="I254" s="563" t="s">
        <v>65</v>
      </c>
    </row>
    <row r="255" spans="1:9" ht="11.1" customHeight="1">
      <c r="A255" s="612"/>
      <c r="B255" s="585"/>
      <c r="C255" s="53"/>
      <c r="D255" s="53"/>
      <c r="E255" s="54"/>
      <c r="F255" s="53"/>
      <c r="G255" s="560"/>
      <c r="H255" s="562"/>
      <c r="I255" s="564"/>
    </row>
    <row r="256" spans="1:9" ht="11.1" customHeight="1">
      <c r="A256" s="612"/>
      <c r="B256" s="584" t="s">
        <v>1795</v>
      </c>
      <c r="C256" s="53"/>
      <c r="D256" s="53"/>
      <c r="E256" s="53"/>
      <c r="F256" s="53"/>
      <c r="G256" s="559">
        <v>275.93</v>
      </c>
      <c r="H256" s="561"/>
      <c r="I256" s="563" t="s">
        <v>65</v>
      </c>
    </row>
    <row r="257" spans="1:9" ht="11.1" customHeight="1">
      <c r="A257" s="612"/>
      <c r="B257" s="585"/>
      <c r="C257" s="53"/>
      <c r="D257" s="53"/>
      <c r="E257" s="54"/>
      <c r="F257" s="53"/>
      <c r="G257" s="560"/>
      <c r="H257" s="562"/>
      <c r="I257" s="564"/>
    </row>
    <row r="258" spans="1:9" ht="11.1" customHeight="1">
      <c r="A258" s="612"/>
      <c r="B258" s="584" t="s">
        <v>1796</v>
      </c>
      <c r="C258" s="53"/>
      <c r="D258" s="53"/>
      <c r="E258" s="53"/>
      <c r="F258" s="53"/>
      <c r="G258" s="559">
        <v>50.61</v>
      </c>
      <c r="H258" s="561"/>
      <c r="I258" s="563" t="s">
        <v>65</v>
      </c>
    </row>
    <row r="259" spans="1:9" ht="11.1" customHeight="1">
      <c r="A259" s="612"/>
      <c r="B259" s="585"/>
      <c r="C259" s="53"/>
      <c r="D259" s="53"/>
      <c r="E259" s="54"/>
      <c r="F259" s="53"/>
      <c r="G259" s="560"/>
      <c r="H259" s="562"/>
      <c r="I259" s="564"/>
    </row>
    <row r="260" spans="1:9" ht="11.1" customHeight="1">
      <c r="A260" s="612"/>
      <c r="B260" s="584" t="s">
        <v>1797</v>
      </c>
      <c r="C260" s="53"/>
      <c r="D260" s="53"/>
      <c r="E260" s="53"/>
      <c r="F260" s="53"/>
      <c r="G260" s="559">
        <v>68.39</v>
      </c>
      <c r="H260" s="561"/>
      <c r="I260" s="563" t="s">
        <v>3040</v>
      </c>
    </row>
    <row r="261" spans="1:9" ht="11.1" customHeight="1">
      <c r="A261" s="612"/>
      <c r="B261" s="585"/>
      <c r="C261" s="53"/>
      <c r="D261" s="53"/>
      <c r="E261" s="54"/>
      <c r="F261" s="53"/>
      <c r="G261" s="560"/>
      <c r="H261" s="562"/>
      <c r="I261" s="564"/>
    </row>
    <row r="262" spans="1:9" ht="11.1" customHeight="1">
      <c r="A262" s="612"/>
      <c r="B262" s="584" t="s">
        <v>1798</v>
      </c>
      <c r="C262" s="53"/>
      <c r="D262" s="53"/>
      <c r="E262" s="53"/>
      <c r="F262" s="53"/>
      <c r="G262" s="559">
        <v>107.7</v>
      </c>
      <c r="H262" s="561"/>
      <c r="I262" s="563" t="s">
        <v>3041</v>
      </c>
    </row>
    <row r="263" spans="1:9" ht="11.1" customHeight="1">
      <c r="A263" s="612"/>
      <c r="B263" s="585"/>
      <c r="C263" s="53"/>
      <c r="D263" s="53"/>
      <c r="E263" s="54"/>
      <c r="F263" s="53"/>
      <c r="G263" s="560"/>
      <c r="H263" s="562"/>
      <c r="I263" s="564"/>
    </row>
    <row r="264" spans="1:9" ht="11.1" customHeight="1">
      <c r="A264" s="612"/>
      <c r="B264" s="584" t="s">
        <v>1799</v>
      </c>
      <c r="C264" s="53"/>
      <c r="D264" s="53"/>
      <c r="E264" s="53"/>
      <c r="F264" s="53"/>
      <c r="G264" s="559">
        <v>154.03</v>
      </c>
      <c r="H264" s="561"/>
      <c r="I264" s="563" t="s">
        <v>65</v>
      </c>
    </row>
    <row r="265" spans="1:9" ht="11.1" customHeight="1">
      <c r="A265" s="612"/>
      <c r="B265" s="585"/>
      <c r="C265" s="53"/>
      <c r="D265" s="53"/>
      <c r="E265" s="54"/>
      <c r="F265" s="53"/>
      <c r="G265" s="560"/>
      <c r="H265" s="562"/>
      <c r="I265" s="564"/>
    </row>
    <row r="266" spans="1:9" ht="11.1" customHeight="1">
      <c r="A266" s="612"/>
      <c r="B266" s="584" t="str">
        <f>B141</f>
        <v>عملیات انجام گرفته درتیرهای ZONE Z1</v>
      </c>
      <c r="C266" s="53"/>
      <c r="D266" s="53"/>
      <c r="E266" s="53"/>
      <c r="F266" s="53"/>
      <c r="G266" s="559">
        <v>52.65</v>
      </c>
      <c r="H266" s="561"/>
      <c r="I266" s="589" t="str">
        <f>I141</f>
        <v>علی الحساب</v>
      </c>
    </row>
    <row r="267" spans="1:9" ht="11.1" customHeight="1">
      <c r="A267" s="612"/>
      <c r="B267" s="585"/>
      <c r="C267" s="53"/>
      <c r="D267" s="53"/>
      <c r="E267" s="54"/>
      <c r="F267" s="53"/>
      <c r="G267" s="560"/>
      <c r="H267" s="562"/>
      <c r="I267" s="590"/>
    </row>
    <row r="268" spans="1:9" ht="11.1" customHeight="1">
      <c r="A268" s="612"/>
      <c r="B268" s="584" t="str">
        <f>B143</f>
        <v>عملیات انجام گرفته درتیرهای ZONE Z2</v>
      </c>
      <c r="C268" s="53"/>
      <c r="D268" s="53"/>
      <c r="E268" s="53"/>
      <c r="F268" s="53"/>
      <c r="G268" s="559">
        <v>279.82</v>
      </c>
      <c r="H268" s="561"/>
      <c r="I268" s="589" t="str">
        <f>I143</f>
        <v>علی الحساب</v>
      </c>
    </row>
    <row r="269" spans="1:9" ht="11.1" customHeight="1">
      <c r="A269" s="612"/>
      <c r="B269" s="585"/>
      <c r="C269" s="53"/>
      <c r="D269" s="53"/>
      <c r="E269" s="54"/>
      <c r="F269" s="53"/>
      <c r="G269" s="560"/>
      <c r="H269" s="562"/>
      <c r="I269" s="590"/>
    </row>
    <row r="270" spans="1:9" ht="11.1" customHeight="1">
      <c r="A270" s="612"/>
      <c r="B270" s="584" t="str">
        <f>B145</f>
        <v>عملیات انجام گرفته درتیرهای ZONE Z3</v>
      </c>
      <c r="C270" s="53"/>
      <c r="D270" s="53"/>
      <c r="E270" s="53"/>
      <c r="F270" s="53"/>
      <c r="G270" s="559">
        <v>216.99</v>
      </c>
      <c r="H270" s="561"/>
      <c r="I270" s="589" t="str">
        <f>I145</f>
        <v>علی الحساب</v>
      </c>
    </row>
    <row r="271" spans="1:9" ht="11.1" customHeight="1">
      <c r="A271" s="612"/>
      <c r="B271" s="585"/>
      <c r="C271" s="53"/>
      <c r="D271" s="53"/>
      <c r="E271" s="54"/>
      <c r="F271" s="53"/>
      <c r="G271" s="560"/>
      <c r="H271" s="562"/>
      <c r="I271" s="590"/>
    </row>
    <row r="272" spans="1:9" ht="11.1" customHeight="1">
      <c r="A272" s="612"/>
      <c r="B272" s="584" t="str">
        <f>B147</f>
        <v>عملیات انجام گرفته درتیرهای ZONE Z4</v>
      </c>
      <c r="C272" s="53"/>
      <c r="D272" s="53"/>
      <c r="E272" s="53"/>
      <c r="F272" s="53"/>
      <c r="G272" s="559">
        <v>375.78</v>
      </c>
      <c r="H272" s="561"/>
      <c r="I272" s="589" t="str">
        <f>I147</f>
        <v>علی الحساب</v>
      </c>
    </row>
    <row r="273" spans="1:9" ht="11.1" customHeight="1">
      <c r="A273" s="612"/>
      <c r="B273" s="585"/>
      <c r="C273" s="53"/>
      <c r="D273" s="53"/>
      <c r="E273" s="54"/>
      <c r="F273" s="53"/>
      <c r="G273" s="560"/>
      <c r="H273" s="562"/>
      <c r="I273" s="590"/>
    </row>
    <row r="274" spans="1:9" ht="11.1" customHeight="1">
      <c r="A274" s="612"/>
      <c r="B274" s="584" t="str">
        <f>B149</f>
        <v>عملیات انجام گرفته درتیرهای ZONE Z5</v>
      </c>
      <c r="C274" s="53"/>
      <c r="D274" s="53"/>
      <c r="E274" s="53"/>
      <c r="F274" s="53"/>
      <c r="G274" s="559">
        <v>68.930000000000007</v>
      </c>
      <c r="H274" s="561"/>
      <c r="I274" s="589" t="str">
        <f>I149</f>
        <v>علی الحساب</v>
      </c>
    </row>
    <row r="275" spans="1:9" ht="11.1" customHeight="1">
      <c r="A275" s="612"/>
      <c r="B275" s="585"/>
      <c r="C275" s="53"/>
      <c r="D275" s="53"/>
      <c r="E275" s="54"/>
      <c r="F275" s="53"/>
      <c r="G275" s="560"/>
      <c r="H275" s="562"/>
      <c r="I275" s="590"/>
    </row>
    <row r="276" spans="1:9" ht="11.1" customHeight="1">
      <c r="A276" s="612"/>
      <c r="B276" s="584" t="str">
        <f>B151</f>
        <v>عملیات انجام گرفته درتیرهای ZONE Y1</v>
      </c>
      <c r="C276" s="53"/>
      <c r="D276" s="53"/>
      <c r="E276" s="53"/>
      <c r="F276" s="53"/>
      <c r="G276" s="559">
        <v>87.56</v>
      </c>
      <c r="H276" s="561"/>
      <c r="I276" s="589" t="str">
        <f>I151</f>
        <v>علی الحساب</v>
      </c>
    </row>
    <row r="277" spans="1:9" ht="11.1" customHeight="1">
      <c r="A277" s="612"/>
      <c r="B277" s="585"/>
      <c r="C277" s="53"/>
      <c r="D277" s="53"/>
      <c r="E277" s="54"/>
      <c r="F277" s="53"/>
      <c r="G277" s="560"/>
      <c r="H277" s="562"/>
      <c r="I277" s="590"/>
    </row>
    <row r="278" spans="1:9" ht="11.1" customHeight="1">
      <c r="A278" s="612"/>
      <c r="B278" s="584" t="str">
        <f>B153</f>
        <v>عملیات انجام گرفته درتیرهای ZONE Y2</v>
      </c>
      <c r="C278" s="53"/>
      <c r="D278" s="53"/>
      <c r="E278" s="53"/>
      <c r="F278" s="53"/>
      <c r="G278" s="559">
        <v>143.33000000000001</v>
      </c>
      <c r="H278" s="561"/>
      <c r="I278" s="589" t="str">
        <f>I153</f>
        <v>علی الحساب</v>
      </c>
    </row>
    <row r="279" spans="1:9" ht="11.1" customHeight="1">
      <c r="A279" s="612"/>
      <c r="B279" s="585"/>
      <c r="C279" s="53"/>
      <c r="D279" s="53"/>
      <c r="E279" s="54"/>
      <c r="F279" s="53"/>
      <c r="G279" s="560"/>
      <c r="H279" s="562"/>
      <c r="I279" s="590"/>
    </row>
    <row r="280" spans="1:9" ht="11.1" customHeight="1">
      <c r="A280" s="613"/>
      <c r="B280" s="565" t="s">
        <v>33</v>
      </c>
      <c r="C280" s="566"/>
      <c r="D280" s="566"/>
      <c r="E280" s="567"/>
      <c r="F280" s="299" t="str">
        <f>A249</f>
        <v>060501</v>
      </c>
      <c r="G280" s="300">
        <f>SUM(G250:G279)</f>
        <v>2285.17</v>
      </c>
      <c r="H280" s="301">
        <f>SUM(H250:H251)</f>
        <v>0</v>
      </c>
      <c r="I280" s="302" t="str">
        <f>IF(F280="","",VLOOKUP(F280,'ابنیه 95'!$A:$E,3,FALSE))</f>
        <v>مترمربع</v>
      </c>
    </row>
    <row r="281" spans="1:9" ht="11.1" customHeight="1">
      <c r="A281" s="551" t="s">
        <v>655</v>
      </c>
      <c r="B281" s="571" t="str">
        <f>IF(A281="","",VLOOKUP(A281,'ابنیه 95'!$A:$E,2,FALSE))</f>
        <v>تهيه وسايل و قالب‌بندي با استفاده از قالب فلزي در تيرهاي بتني كه ارتفاع بيش از 3/5 متر و حداكثر 5/5 متر باشد.</v>
      </c>
      <c r="C281" s="572"/>
      <c r="D281" s="572"/>
      <c r="E281" s="572"/>
      <c r="F281" s="572"/>
      <c r="G281" s="572"/>
      <c r="H281" s="572"/>
      <c r="I281" s="573"/>
    </row>
    <row r="282" spans="1:9" ht="11.1" customHeight="1">
      <c r="A282" s="612"/>
      <c r="B282" s="584" t="s">
        <v>1769</v>
      </c>
      <c r="C282" s="53"/>
      <c r="D282" s="53"/>
      <c r="E282" s="54"/>
      <c r="F282" s="53"/>
      <c r="G282" s="559">
        <v>550</v>
      </c>
      <c r="H282" s="561"/>
      <c r="I282" s="563" t="s">
        <v>65</v>
      </c>
    </row>
    <row r="283" spans="1:9" ht="11.1" customHeight="1">
      <c r="A283" s="612"/>
      <c r="B283" s="585"/>
      <c r="C283" s="54"/>
      <c r="D283" s="54"/>
      <c r="E283" s="54"/>
      <c r="F283" s="54"/>
      <c r="G283" s="560"/>
      <c r="H283" s="562"/>
      <c r="I283" s="564"/>
    </row>
    <row r="284" spans="1:9" ht="11.1" customHeight="1">
      <c r="A284" s="612"/>
      <c r="B284" s="584" t="str">
        <f>B157</f>
        <v>عملیات انجام گرفته در سقف دوم ZONE Z1</v>
      </c>
      <c r="C284" s="53"/>
      <c r="D284" s="53"/>
      <c r="E284" s="53"/>
      <c r="F284" s="53"/>
      <c r="G284" s="559">
        <v>10.42</v>
      </c>
      <c r="H284" s="561"/>
      <c r="I284" s="589" t="str">
        <f>I157</f>
        <v>علی الحساب</v>
      </c>
    </row>
    <row r="285" spans="1:9" ht="11.1" customHeight="1">
      <c r="A285" s="612"/>
      <c r="B285" s="585"/>
      <c r="C285" s="53"/>
      <c r="D285" s="53"/>
      <c r="E285" s="54"/>
      <c r="F285" s="53"/>
      <c r="G285" s="560"/>
      <c r="H285" s="562"/>
      <c r="I285" s="590"/>
    </row>
    <row r="286" spans="1:9" ht="11.1" customHeight="1">
      <c r="A286" s="612"/>
      <c r="B286" s="584" t="str">
        <f t="shared" ref="B286" si="0">B159</f>
        <v>عملیات انجام گرفته در سقف دوم ZONE Z2</v>
      </c>
      <c r="C286" s="53"/>
      <c r="D286" s="53"/>
      <c r="E286" s="53"/>
      <c r="F286" s="53"/>
      <c r="G286" s="559">
        <v>55.38</v>
      </c>
      <c r="H286" s="561"/>
      <c r="I286" s="589" t="str">
        <f t="shared" ref="I286" si="1">I159</f>
        <v>علی الحساب</v>
      </c>
    </row>
    <row r="287" spans="1:9" ht="11.1" customHeight="1">
      <c r="A287" s="612"/>
      <c r="B287" s="585"/>
      <c r="C287" s="53"/>
      <c r="D287" s="53"/>
      <c r="E287" s="54"/>
      <c r="F287" s="53"/>
      <c r="G287" s="560"/>
      <c r="H287" s="562"/>
      <c r="I287" s="590"/>
    </row>
    <row r="288" spans="1:9" ht="11.1" customHeight="1">
      <c r="A288" s="612"/>
      <c r="B288" s="584" t="str">
        <f t="shared" ref="B288" si="2">B161</f>
        <v>عملیات انجام گرفته در سقف دوم ZONE Z3</v>
      </c>
      <c r="C288" s="53"/>
      <c r="D288" s="53"/>
      <c r="E288" s="53"/>
      <c r="F288" s="53"/>
      <c r="G288" s="559">
        <v>42.94</v>
      </c>
      <c r="H288" s="561"/>
      <c r="I288" s="589" t="str">
        <f t="shared" ref="I288" si="3">I161</f>
        <v>علی الحساب</v>
      </c>
    </row>
    <row r="289" spans="1:9" ht="11.1" customHeight="1">
      <c r="A289" s="612"/>
      <c r="B289" s="585"/>
      <c r="C289" s="53"/>
      <c r="D289" s="53"/>
      <c r="E289" s="54"/>
      <c r="F289" s="53"/>
      <c r="G289" s="560"/>
      <c r="H289" s="562"/>
      <c r="I289" s="590"/>
    </row>
    <row r="290" spans="1:9" ht="11.1" customHeight="1">
      <c r="A290" s="612"/>
      <c r="B290" s="584" t="str">
        <f t="shared" ref="B290" si="4">B163</f>
        <v>عملیات انجام گرفته در سقف دوم ZONE Z4</v>
      </c>
      <c r="C290" s="53"/>
      <c r="D290" s="53"/>
      <c r="E290" s="53"/>
      <c r="F290" s="53"/>
      <c r="G290" s="559">
        <v>74.37</v>
      </c>
      <c r="H290" s="561"/>
      <c r="I290" s="589" t="str">
        <f t="shared" ref="I290" si="5">I163</f>
        <v>علی الحساب</v>
      </c>
    </row>
    <row r="291" spans="1:9" ht="11.1" customHeight="1">
      <c r="A291" s="612"/>
      <c r="B291" s="585"/>
      <c r="C291" s="53"/>
      <c r="D291" s="53"/>
      <c r="E291" s="54"/>
      <c r="F291" s="53"/>
      <c r="G291" s="560"/>
      <c r="H291" s="562"/>
      <c r="I291" s="590"/>
    </row>
    <row r="292" spans="1:9" ht="11.1" customHeight="1">
      <c r="A292" s="612"/>
      <c r="B292" s="584" t="str">
        <f t="shared" ref="B292" si="6">B165</f>
        <v>عملیات انجام گرفته در سقف دوم ZONE Z5</v>
      </c>
      <c r="C292" s="53"/>
      <c r="D292" s="53"/>
      <c r="E292" s="53"/>
      <c r="F292" s="53"/>
      <c r="G292" s="559">
        <v>13.64</v>
      </c>
      <c r="H292" s="561"/>
      <c r="I292" s="589" t="str">
        <f t="shared" ref="I292" si="7">I165</f>
        <v>علی الحساب</v>
      </c>
    </row>
    <row r="293" spans="1:9" ht="11.1" customHeight="1">
      <c r="A293" s="612"/>
      <c r="B293" s="585"/>
      <c r="C293" s="53"/>
      <c r="D293" s="53"/>
      <c r="E293" s="54"/>
      <c r="F293" s="53"/>
      <c r="G293" s="560"/>
      <c r="H293" s="562"/>
      <c r="I293" s="590"/>
    </row>
    <row r="294" spans="1:9" ht="11.1" customHeight="1">
      <c r="A294" s="612"/>
      <c r="B294" s="584" t="str">
        <f t="shared" ref="B294" si="8">B167</f>
        <v>عملیات انجام گرفته در سقف دوم ZONE Y1</v>
      </c>
      <c r="C294" s="53"/>
      <c r="D294" s="53"/>
      <c r="E294" s="53"/>
      <c r="F294" s="53"/>
      <c r="G294" s="559">
        <v>17.329999999999998</v>
      </c>
      <c r="H294" s="561"/>
      <c r="I294" s="589" t="str">
        <f t="shared" ref="I294" si="9">I167</f>
        <v>علی الحساب</v>
      </c>
    </row>
    <row r="295" spans="1:9" ht="11.1" customHeight="1">
      <c r="A295" s="612"/>
      <c r="B295" s="585"/>
      <c r="C295" s="53"/>
      <c r="D295" s="53"/>
      <c r="E295" s="54"/>
      <c r="F295" s="53"/>
      <c r="G295" s="560"/>
      <c r="H295" s="562"/>
      <c r="I295" s="590"/>
    </row>
    <row r="296" spans="1:9" ht="11.1" customHeight="1">
      <c r="A296" s="612"/>
      <c r="B296" s="584" t="str">
        <f t="shared" ref="B296" si="10">B169</f>
        <v>عملیات انجام گرفته در سقف دوم ZONE Y2</v>
      </c>
      <c r="C296" s="53"/>
      <c r="D296" s="53"/>
      <c r="E296" s="53"/>
      <c r="F296" s="53"/>
      <c r="G296" s="559">
        <v>28.37</v>
      </c>
      <c r="H296" s="561"/>
      <c r="I296" s="589" t="str">
        <f t="shared" ref="I296" si="11">I169</f>
        <v>علی الحساب</v>
      </c>
    </row>
    <row r="297" spans="1:9" ht="11.1" customHeight="1">
      <c r="A297" s="612"/>
      <c r="B297" s="585"/>
      <c r="C297" s="53"/>
      <c r="D297" s="53"/>
      <c r="E297" s="54"/>
      <c r="F297" s="53"/>
      <c r="G297" s="560"/>
      <c r="H297" s="562"/>
      <c r="I297" s="590"/>
    </row>
    <row r="298" spans="1:9" ht="11.1" customHeight="1">
      <c r="A298" s="612"/>
      <c r="B298" s="584" t="str">
        <f t="shared" ref="B298" si="12">B171</f>
        <v>عملیات انجام گرفته در سقف دوم ZONE Y3</v>
      </c>
      <c r="C298" s="53"/>
      <c r="D298" s="53"/>
      <c r="E298" s="53"/>
      <c r="F298" s="53"/>
      <c r="G298" s="559">
        <v>41.52</v>
      </c>
      <c r="H298" s="561"/>
      <c r="I298" s="589" t="str">
        <f t="shared" ref="I298" si="13">I171</f>
        <v>علی الحساب</v>
      </c>
    </row>
    <row r="299" spans="1:9" ht="11.1" customHeight="1">
      <c r="A299" s="612"/>
      <c r="B299" s="585"/>
      <c r="C299" s="53"/>
      <c r="D299" s="53"/>
      <c r="E299" s="54"/>
      <c r="F299" s="53"/>
      <c r="G299" s="560"/>
      <c r="H299" s="562"/>
      <c r="I299" s="590"/>
    </row>
    <row r="300" spans="1:9" ht="11.1" customHeight="1">
      <c r="A300" s="613"/>
      <c r="B300" s="565" t="s">
        <v>33</v>
      </c>
      <c r="C300" s="566"/>
      <c r="D300" s="566"/>
      <c r="E300" s="567"/>
      <c r="F300" s="299" t="str">
        <f>A281</f>
        <v>060502</v>
      </c>
      <c r="G300" s="300">
        <f>SUM(G282:G299)</f>
        <v>833.97</v>
      </c>
      <c r="H300" s="301">
        <f>SUM(H282:H283)</f>
        <v>0</v>
      </c>
      <c r="I300" s="302" t="str">
        <f>IF(F300="","",VLOOKUP(F300,'ابنیه 95'!$A:$E,3,FALSE))</f>
        <v>مترمربع</v>
      </c>
    </row>
    <row r="301" spans="1:9" ht="11.1" customHeight="1">
      <c r="A301" s="551" t="s">
        <v>191</v>
      </c>
      <c r="B301" s="571" t="str">
        <f>IF(A301="","",VLOOKUP(A301,'ابنیه 95'!$A:$E,2,FALSE))</f>
        <v>اضافه بها براي قالب‌بندي جدار خارجي ديوارها، تيرها و ستون‌ها، با استفاده از قالب فلزي.</v>
      </c>
      <c r="C301" s="572"/>
      <c r="D301" s="572"/>
      <c r="E301" s="572"/>
      <c r="F301" s="572"/>
      <c r="G301" s="572"/>
      <c r="H301" s="572"/>
      <c r="I301" s="573"/>
    </row>
    <row r="302" spans="1:9" ht="11.1" customHeight="1">
      <c r="A302" s="612"/>
      <c r="B302" s="574" t="str">
        <f>B232</f>
        <v xml:space="preserve"> ستونهای طبقه اول  مرحله دوم ZONE Z1</v>
      </c>
      <c r="C302" s="53"/>
      <c r="D302" s="53"/>
      <c r="E302" s="54"/>
      <c r="F302" s="53"/>
      <c r="G302" s="559">
        <v>8.34</v>
      </c>
      <c r="H302" s="561"/>
      <c r="I302" s="563" t="str">
        <f>I250</f>
        <v>علی الحساب</v>
      </c>
    </row>
    <row r="303" spans="1:9" ht="11.1" customHeight="1">
      <c r="A303" s="612"/>
      <c r="B303" s="575"/>
      <c r="C303" s="54"/>
      <c r="D303" s="54"/>
      <c r="E303" s="54"/>
      <c r="F303" s="54"/>
      <c r="G303" s="560"/>
      <c r="H303" s="562"/>
      <c r="I303" s="564"/>
    </row>
    <row r="304" spans="1:9" ht="11.1" customHeight="1">
      <c r="A304" s="612"/>
      <c r="B304" s="574" t="str">
        <f>B234</f>
        <v xml:space="preserve"> ستونهای طبقه اول  مرحله دوم ZONE Z2</v>
      </c>
      <c r="C304" s="53"/>
      <c r="D304" s="53"/>
      <c r="E304" s="54"/>
      <c r="F304" s="53"/>
      <c r="G304" s="559">
        <v>44.32</v>
      </c>
      <c r="H304" s="561"/>
      <c r="I304" s="563" t="str">
        <f>I252</f>
        <v>علی الحساب</v>
      </c>
    </row>
    <row r="305" spans="1:9" ht="11.1" customHeight="1">
      <c r="A305" s="612"/>
      <c r="B305" s="575"/>
      <c r="C305" s="54"/>
      <c r="D305" s="54"/>
      <c r="E305" s="54"/>
      <c r="F305" s="54"/>
      <c r="G305" s="560"/>
      <c r="H305" s="562"/>
      <c r="I305" s="564"/>
    </row>
    <row r="306" spans="1:9" ht="11.1" customHeight="1">
      <c r="A306" s="612"/>
      <c r="B306" s="574" t="str">
        <f>B236</f>
        <v xml:space="preserve"> ستونهای طبقه اول  مرحله دوم ZONE Z3</v>
      </c>
      <c r="C306" s="53"/>
      <c r="D306" s="53"/>
      <c r="E306" s="54"/>
      <c r="F306" s="53"/>
      <c r="G306" s="559">
        <v>34.369999999999997</v>
      </c>
      <c r="H306" s="561"/>
      <c r="I306" s="563" t="str">
        <f>I254</f>
        <v>علی الحساب</v>
      </c>
    </row>
    <row r="307" spans="1:9" ht="11.1" customHeight="1">
      <c r="A307" s="612"/>
      <c r="B307" s="575"/>
      <c r="C307" s="54"/>
      <c r="D307" s="54"/>
      <c r="E307" s="54"/>
      <c r="F307" s="54"/>
      <c r="G307" s="560"/>
      <c r="H307" s="562"/>
      <c r="I307" s="564"/>
    </row>
    <row r="308" spans="1:9" ht="11.1" customHeight="1">
      <c r="A308" s="612"/>
      <c r="B308" s="574" t="str">
        <f>B238</f>
        <v xml:space="preserve"> ستونهای طبقه اول  مرحله دوم ZONE Z4</v>
      </c>
      <c r="C308" s="53"/>
      <c r="D308" s="53"/>
      <c r="E308" s="54"/>
      <c r="F308" s="53"/>
      <c r="G308" s="559">
        <v>59.53</v>
      </c>
      <c r="H308" s="561"/>
      <c r="I308" s="563" t="str">
        <f>I256</f>
        <v>علی الحساب</v>
      </c>
    </row>
    <row r="309" spans="1:9" ht="11.1" customHeight="1">
      <c r="A309" s="612"/>
      <c r="B309" s="575"/>
      <c r="C309" s="54"/>
      <c r="D309" s="54"/>
      <c r="E309" s="54"/>
      <c r="F309" s="54"/>
      <c r="G309" s="560"/>
      <c r="H309" s="562"/>
      <c r="I309" s="564"/>
    </row>
    <row r="310" spans="1:9" ht="11.1" customHeight="1">
      <c r="A310" s="612"/>
      <c r="B310" s="574" t="str">
        <f>B240</f>
        <v xml:space="preserve"> ستونهای طبقه اول  مرحله دوم ZONE Z5</v>
      </c>
      <c r="C310" s="53"/>
      <c r="D310" s="53"/>
      <c r="E310" s="54"/>
      <c r="F310" s="53"/>
      <c r="G310" s="559">
        <v>10.92</v>
      </c>
      <c r="H310" s="561"/>
      <c r="I310" s="563" t="str">
        <f>I258</f>
        <v>علی الحساب</v>
      </c>
    </row>
    <row r="311" spans="1:9" ht="11.1" customHeight="1">
      <c r="A311" s="612"/>
      <c r="B311" s="575"/>
      <c r="C311" s="54"/>
      <c r="D311" s="54"/>
      <c r="E311" s="54"/>
      <c r="F311" s="54"/>
      <c r="G311" s="560"/>
      <c r="H311" s="562"/>
      <c r="I311" s="564"/>
    </row>
    <row r="312" spans="1:9" ht="11.1" customHeight="1">
      <c r="A312" s="612"/>
      <c r="B312" s="574" t="str">
        <f>B242</f>
        <v xml:space="preserve"> ستونهای طبقه اول  مرحله دوم ZONE Y1</v>
      </c>
      <c r="C312" s="53"/>
      <c r="D312" s="53"/>
      <c r="E312" s="54"/>
      <c r="F312" s="53"/>
      <c r="G312" s="559">
        <v>13.87</v>
      </c>
      <c r="H312" s="561"/>
      <c r="I312" s="563" t="str">
        <f>I242</f>
        <v>علی الحساب</v>
      </c>
    </row>
    <row r="313" spans="1:9" ht="11.1" customHeight="1">
      <c r="A313" s="612"/>
      <c r="B313" s="575"/>
      <c r="C313" s="54"/>
      <c r="D313" s="54"/>
      <c r="E313" s="54"/>
      <c r="F313" s="54"/>
      <c r="G313" s="560"/>
      <c r="H313" s="562"/>
      <c r="I313" s="564"/>
    </row>
    <row r="314" spans="1:9" ht="11.1" customHeight="1">
      <c r="A314" s="612"/>
      <c r="B314" s="574" t="str">
        <f>B244</f>
        <v xml:space="preserve"> ستونهای طبقه اول  مرحله دوم ZONE Y2</v>
      </c>
      <c r="C314" s="53"/>
      <c r="D314" s="53"/>
      <c r="E314" s="54"/>
      <c r="F314" s="53"/>
      <c r="G314" s="559">
        <v>22.7</v>
      </c>
      <c r="H314" s="561"/>
      <c r="I314" s="563" t="str">
        <f>I244</f>
        <v>علی الحساب</v>
      </c>
    </row>
    <row r="315" spans="1:9" ht="11.1" customHeight="1">
      <c r="A315" s="612"/>
      <c r="B315" s="575"/>
      <c r="C315" s="54"/>
      <c r="D315" s="54"/>
      <c r="E315" s="54"/>
      <c r="F315" s="54"/>
      <c r="G315" s="560"/>
      <c r="H315" s="562"/>
      <c r="I315" s="564"/>
    </row>
    <row r="316" spans="1:9" ht="11.1" customHeight="1">
      <c r="A316" s="612"/>
      <c r="B316" s="574" t="str">
        <f>B246</f>
        <v xml:space="preserve"> ستونهای طبقه اول  مرحله دوم ZONE Y3</v>
      </c>
      <c r="C316" s="53"/>
      <c r="D316" s="53"/>
      <c r="E316" s="54"/>
      <c r="F316" s="53"/>
      <c r="G316" s="559">
        <v>33.229999999999997</v>
      </c>
      <c r="H316" s="561"/>
      <c r="I316" s="563" t="str">
        <f>I264</f>
        <v>علی الحساب</v>
      </c>
    </row>
    <row r="317" spans="1:9" ht="11.1" customHeight="1">
      <c r="A317" s="612"/>
      <c r="B317" s="575"/>
      <c r="C317" s="54"/>
      <c r="D317" s="54"/>
      <c r="E317" s="54"/>
      <c r="F317" s="54"/>
      <c r="G317" s="560"/>
      <c r="H317" s="562"/>
      <c r="I317" s="564"/>
    </row>
    <row r="318" spans="1:9" ht="11.1" customHeight="1">
      <c r="A318" s="612"/>
      <c r="B318" s="574" t="str">
        <f>B266</f>
        <v>عملیات انجام گرفته درتیرهای ZONE Z1</v>
      </c>
      <c r="C318" s="53"/>
      <c r="D318" s="53"/>
      <c r="E318" s="54"/>
      <c r="F318" s="53"/>
      <c r="G318" s="559">
        <v>30.1</v>
      </c>
      <c r="H318" s="561"/>
      <c r="I318" s="576" t="str">
        <f>I266</f>
        <v>علی الحساب</v>
      </c>
    </row>
    <row r="319" spans="1:9" ht="11.1" customHeight="1">
      <c r="A319" s="612"/>
      <c r="B319" s="575"/>
      <c r="C319" s="54"/>
      <c r="D319" s="54"/>
      <c r="E319" s="54"/>
      <c r="F319" s="54"/>
      <c r="G319" s="560"/>
      <c r="H319" s="562"/>
      <c r="I319" s="577"/>
    </row>
    <row r="320" spans="1:9" ht="11.1" customHeight="1">
      <c r="A320" s="612"/>
      <c r="B320" s="574" t="str">
        <f>B268</f>
        <v>عملیات انجام گرفته درتیرهای ZONE Z2</v>
      </c>
      <c r="C320" s="53"/>
      <c r="D320" s="53"/>
      <c r="E320" s="54"/>
      <c r="F320" s="53"/>
      <c r="G320" s="559">
        <v>159.97</v>
      </c>
      <c r="H320" s="561"/>
      <c r="I320" s="576" t="str">
        <f>I268</f>
        <v>علی الحساب</v>
      </c>
    </row>
    <row r="321" spans="1:9" ht="11.1" customHeight="1">
      <c r="A321" s="612"/>
      <c r="B321" s="575"/>
      <c r="C321" s="54"/>
      <c r="D321" s="54"/>
      <c r="E321" s="54"/>
      <c r="F321" s="54"/>
      <c r="G321" s="560"/>
      <c r="H321" s="562"/>
      <c r="I321" s="577"/>
    </row>
    <row r="322" spans="1:9" ht="11.1" customHeight="1">
      <c r="A322" s="612"/>
      <c r="B322" s="574" t="str">
        <f>B270</f>
        <v>عملیات انجام گرفته درتیرهای ZONE Z3</v>
      </c>
      <c r="C322" s="53"/>
      <c r="D322" s="53"/>
      <c r="E322" s="54"/>
      <c r="F322" s="53"/>
      <c r="G322" s="559">
        <v>124.06</v>
      </c>
      <c r="H322" s="561"/>
      <c r="I322" s="576" t="str">
        <f>I270</f>
        <v>علی الحساب</v>
      </c>
    </row>
    <row r="323" spans="1:9" ht="11.1" customHeight="1">
      <c r="A323" s="612"/>
      <c r="B323" s="575"/>
      <c r="C323" s="54"/>
      <c r="D323" s="54"/>
      <c r="E323" s="54"/>
      <c r="F323" s="54"/>
      <c r="G323" s="560"/>
      <c r="H323" s="562"/>
      <c r="I323" s="577"/>
    </row>
    <row r="324" spans="1:9" ht="11.1" customHeight="1">
      <c r="A324" s="612"/>
      <c r="B324" s="574" t="str">
        <f>B272</f>
        <v>عملیات انجام گرفته درتیرهای ZONE Z4</v>
      </c>
      <c r="C324" s="53"/>
      <c r="D324" s="53"/>
      <c r="E324" s="54"/>
      <c r="F324" s="53"/>
      <c r="G324" s="559">
        <v>214.84</v>
      </c>
      <c r="H324" s="561"/>
      <c r="I324" s="576" t="str">
        <f>I272</f>
        <v>علی الحساب</v>
      </c>
    </row>
    <row r="325" spans="1:9" ht="11.1" customHeight="1">
      <c r="A325" s="612"/>
      <c r="B325" s="575"/>
      <c r="C325" s="54"/>
      <c r="D325" s="54"/>
      <c r="E325" s="54"/>
      <c r="F325" s="54"/>
      <c r="G325" s="560"/>
      <c r="H325" s="562"/>
      <c r="I325" s="577"/>
    </row>
    <row r="326" spans="1:9" ht="11.1" customHeight="1">
      <c r="A326" s="612"/>
      <c r="B326" s="574" t="str">
        <f>B274</f>
        <v>عملیات انجام گرفته درتیرهای ZONE Z5</v>
      </c>
      <c r="C326" s="53"/>
      <c r="D326" s="53"/>
      <c r="E326" s="54"/>
      <c r="F326" s="53"/>
      <c r="G326" s="559">
        <v>39.409999999999997</v>
      </c>
      <c r="H326" s="561"/>
      <c r="I326" s="576" t="str">
        <f>I274</f>
        <v>علی الحساب</v>
      </c>
    </row>
    <row r="327" spans="1:9" ht="11.1" customHeight="1">
      <c r="A327" s="612"/>
      <c r="B327" s="575"/>
      <c r="C327" s="54"/>
      <c r="D327" s="54"/>
      <c r="E327" s="54"/>
      <c r="F327" s="54"/>
      <c r="G327" s="560"/>
      <c r="H327" s="562"/>
      <c r="I327" s="577"/>
    </row>
    <row r="328" spans="1:9" ht="11.1" customHeight="1">
      <c r="A328" s="612"/>
      <c r="B328" s="574" t="str">
        <f>B276</f>
        <v>عملیات انجام گرفته درتیرهای ZONE Y1</v>
      </c>
      <c r="C328" s="53"/>
      <c r="D328" s="53"/>
      <c r="E328" s="54"/>
      <c r="F328" s="53"/>
      <c r="G328" s="559">
        <v>50.06</v>
      </c>
      <c r="H328" s="561"/>
      <c r="I328" s="576" t="str">
        <f>I276</f>
        <v>علی الحساب</v>
      </c>
    </row>
    <row r="329" spans="1:9" ht="11.1" customHeight="1">
      <c r="A329" s="612"/>
      <c r="B329" s="575"/>
      <c r="C329" s="54"/>
      <c r="D329" s="54"/>
      <c r="E329" s="54"/>
      <c r="F329" s="54"/>
      <c r="G329" s="560"/>
      <c r="H329" s="562"/>
      <c r="I329" s="577"/>
    </row>
    <row r="330" spans="1:9" ht="11.1" customHeight="1">
      <c r="A330" s="612"/>
      <c r="B330" s="574" t="str">
        <f>B278</f>
        <v>عملیات انجام گرفته درتیرهای ZONE Y2</v>
      </c>
      <c r="C330" s="53"/>
      <c r="D330" s="53"/>
      <c r="E330" s="54"/>
      <c r="F330" s="53"/>
      <c r="G330" s="559">
        <v>81.94</v>
      </c>
      <c r="H330" s="561"/>
      <c r="I330" s="576" t="str">
        <f>I278</f>
        <v>علی الحساب</v>
      </c>
    </row>
    <row r="331" spans="1:9" ht="11.1" customHeight="1">
      <c r="A331" s="612"/>
      <c r="B331" s="575"/>
      <c r="C331" s="54"/>
      <c r="D331" s="54"/>
      <c r="E331" s="54"/>
      <c r="F331" s="54"/>
      <c r="G331" s="560"/>
      <c r="H331" s="562"/>
      <c r="I331" s="577"/>
    </row>
    <row r="332" spans="1:9" ht="12" customHeight="1">
      <c r="A332" s="613"/>
      <c r="B332" s="565" t="s">
        <v>33</v>
      </c>
      <c r="C332" s="566"/>
      <c r="D332" s="566"/>
      <c r="E332" s="567"/>
      <c r="F332" s="299" t="str">
        <f>A301</f>
        <v>060801</v>
      </c>
      <c r="G332" s="300">
        <f>SUM(G302:G331)</f>
        <v>927.66000000000008</v>
      </c>
      <c r="H332" s="301">
        <f>SUM(H302:H303)</f>
        <v>0</v>
      </c>
      <c r="I332" s="302" t="str">
        <f>IF(F332="","",VLOOKUP(F332,'ابنیه 95'!$A:$E,3,FALSE))</f>
        <v>مترمربع</v>
      </c>
    </row>
    <row r="333" spans="1:9" ht="12" customHeight="1">
      <c r="A333" s="551" t="s">
        <v>674</v>
      </c>
      <c r="B333" s="658" t="str">
        <f>IF(A333="","",VLOOKUP(A333,'ابنیه 95'!$A:$E,2,FALSE))</f>
        <v>اضافه بها به رديف‌هاي قالب‌بندي با استفاده ازقالب فلزي درصورتي كه عمليات قالب‌بندي زير تراز آبهاي زيرزميني انجام شود و آبكشي با تلمبه موتوري در حين اجراي كار ضروري باشد.</v>
      </c>
      <c r="C333" s="659"/>
      <c r="D333" s="659"/>
      <c r="E333" s="659"/>
      <c r="F333" s="659"/>
      <c r="G333" s="659"/>
      <c r="H333" s="659"/>
      <c r="I333" s="660"/>
    </row>
    <row r="334" spans="1:9" ht="12" customHeight="1">
      <c r="A334" s="612"/>
      <c r="B334" s="584" t="str">
        <f>B176</f>
        <v>قالب بتن مگر</v>
      </c>
      <c r="C334" s="53"/>
      <c r="D334" s="53"/>
      <c r="E334" s="54"/>
      <c r="F334" s="53"/>
      <c r="G334" s="559">
        <f>G176</f>
        <v>160.43</v>
      </c>
      <c r="H334" s="561"/>
      <c r="I334" s="563" t="str">
        <f>I176</f>
        <v>صورتجلسه شماره: 2</v>
      </c>
    </row>
    <row r="335" spans="1:9" ht="12" customHeight="1">
      <c r="A335" s="612"/>
      <c r="B335" s="585"/>
      <c r="C335" s="54"/>
      <c r="D335" s="54"/>
      <c r="E335" s="54"/>
      <c r="F335" s="54"/>
      <c r="G335" s="560"/>
      <c r="H335" s="562"/>
      <c r="I335" s="564"/>
    </row>
    <row r="336" spans="1:9" ht="12" customHeight="1">
      <c r="A336" s="612"/>
      <c r="B336" s="584" t="str">
        <f>B178</f>
        <v xml:space="preserve">فونداسیون  ZONE Z1 </v>
      </c>
      <c r="C336" s="53"/>
      <c r="D336" s="53"/>
      <c r="E336" s="54"/>
      <c r="F336" s="53"/>
      <c r="G336" s="559">
        <f>G178</f>
        <v>40.39</v>
      </c>
      <c r="H336" s="561"/>
      <c r="I336" s="563" t="str">
        <f>I178</f>
        <v>صورتجلسه شماره: 3</v>
      </c>
    </row>
    <row r="337" spans="1:9" ht="12" customHeight="1">
      <c r="A337" s="612"/>
      <c r="B337" s="585"/>
      <c r="C337" s="54"/>
      <c r="D337" s="54"/>
      <c r="E337" s="54"/>
      <c r="F337" s="54"/>
      <c r="G337" s="560"/>
      <c r="H337" s="562"/>
      <c r="I337" s="564"/>
    </row>
    <row r="338" spans="1:9" ht="12" customHeight="1">
      <c r="A338" s="612"/>
      <c r="B338" s="584" t="str">
        <f>B180</f>
        <v>فونداسیون  ZONE Z2</v>
      </c>
      <c r="C338" s="53"/>
      <c r="D338" s="53"/>
      <c r="E338" s="54"/>
      <c r="F338" s="53"/>
      <c r="G338" s="559">
        <f>G180</f>
        <v>179.56</v>
      </c>
      <c r="H338" s="561"/>
      <c r="I338" s="563" t="str">
        <f>I180</f>
        <v>صورتجلسه شماره: 4</v>
      </c>
    </row>
    <row r="339" spans="1:9" ht="12" customHeight="1">
      <c r="A339" s="612"/>
      <c r="B339" s="585"/>
      <c r="C339" s="54"/>
      <c r="D339" s="54"/>
      <c r="E339" s="54"/>
      <c r="F339" s="54"/>
      <c r="G339" s="560"/>
      <c r="H339" s="562"/>
      <c r="I339" s="564"/>
    </row>
    <row r="340" spans="1:9" ht="12" customHeight="1">
      <c r="A340" s="612"/>
      <c r="B340" s="584" t="str">
        <f>B182</f>
        <v>فونداسیون  ZONE Z3</v>
      </c>
      <c r="C340" s="53"/>
      <c r="D340" s="53"/>
      <c r="E340" s="54"/>
      <c r="F340" s="53"/>
      <c r="G340" s="559">
        <f>G182</f>
        <v>185.02</v>
      </c>
      <c r="H340" s="561"/>
      <c r="I340" s="563" t="str">
        <f>I182</f>
        <v>صورتجلسه شماره: 5</v>
      </c>
    </row>
    <row r="341" spans="1:9" ht="12" customHeight="1">
      <c r="A341" s="612"/>
      <c r="B341" s="585"/>
      <c r="C341" s="54"/>
      <c r="D341" s="54"/>
      <c r="E341" s="54"/>
      <c r="F341" s="54"/>
      <c r="G341" s="560"/>
      <c r="H341" s="562"/>
      <c r="I341" s="564"/>
    </row>
    <row r="342" spans="1:9" ht="12" customHeight="1">
      <c r="A342" s="612"/>
      <c r="B342" s="584" t="str">
        <f>B184</f>
        <v>فونداسیون  ZONE Z4</v>
      </c>
      <c r="C342" s="53"/>
      <c r="D342" s="53"/>
      <c r="E342" s="54"/>
      <c r="F342" s="53"/>
      <c r="G342" s="559">
        <f>G184</f>
        <v>235.74</v>
      </c>
      <c r="H342" s="561"/>
      <c r="I342" s="563" t="str">
        <f>I184</f>
        <v>صورتجلسه شماره: 6</v>
      </c>
    </row>
    <row r="343" spans="1:9" ht="12" customHeight="1">
      <c r="A343" s="612"/>
      <c r="B343" s="585"/>
      <c r="C343" s="54"/>
      <c r="D343" s="54"/>
      <c r="E343" s="54"/>
      <c r="F343" s="54"/>
      <c r="G343" s="560"/>
      <c r="H343" s="562"/>
      <c r="I343" s="564"/>
    </row>
    <row r="344" spans="1:9" ht="12" customHeight="1">
      <c r="A344" s="612"/>
      <c r="B344" s="584" t="str">
        <f>B186</f>
        <v>فونداسیون  ZONE Z5</v>
      </c>
      <c r="C344" s="53"/>
      <c r="D344" s="53"/>
      <c r="E344" s="54"/>
      <c r="F344" s="53"/>
      <c r="G344" s="559">
        <f>G186</f>
        <v>49.01</v>
      </c>
      <c r="H344" s="561"/>
      <c r="I344" s="563" t="str">
        <f>I186</f>
        <v>صورتجلسه شماره: 7</v>
      </c>
    </row>
    <row r="345" spans="1:9" ht="12" customHeight="1">
      <c r="A345" s="612"/>
      <c r="B345" s="585"/>
      <c r="C345" s="54"/>
      <c r="D345" s="54"/>
      <c r="E345" s="54"/>
      <c r="F345" s="54"/>
      <c r="G345" s="560"/>
      <c r="H345" s="562"/>
      <c r="I345" s="564"/>
    </row>
    <row r="346" spans="1:9" ht="12" customHeight="1">
      <c r="A346" s="612"/>
      <c r="B346" s="584" t="str">
        <f>B188</f>
        <v>فونداسیون  ZONE Y1</v>
      </c>
      <c r="C346" s="53"/>
      <c r="D346" s="53"/>
      <c r="E346" s="54"/>
      <c r="F346" s="53"/>
      <c r="G346" s="559">
        <f>G188</f>
        <v>70.239999999999995</v>
      </c>
      <c r="H346" s="561"/>
      <c r="I346" s="563" t="str">
        <f>I188</f>
        <v>صورتجلسه شماره: 8</v>
      </c>
    </row>
    <row r="347" spans="1:9" ht="12" customHeight="1">
      <c r="A347" s="612"/>
      <c r="B347" s="585"/>
      <c r="C347" s="54"/>
      <c r="D347" s="54"/>
      <c r="E347" s="54"/>
      <c r="F347" s="54"/>
      <c r="G347" s="560"/>
      <c r="H347" s="562"/>
      <c r="I347" s="564"/>
    </row>
    <row r="348" spans="1:9" ht="12" customHeight="1">
      <c r="A348" s="612"/>
      <c r="B348" s="584" t="str">
        <f>B190</f>
        <v>فونداسیون  ZONE Y2</v>
      </c>
      <c r="C348" s="53"/>
      <c r="D348" s="53"/>
      <c r="E348" s="54"/>
      <c r="F348" s="53"/>
      <c r="G348" s="559">
        <f>G190</f>
        <v>98.57</v>
      </c>
      <c r="H348" s="561"/>
      <c r="I348" s="563" t="str">
        <f>I190</f>
        <v>صورتجلسه شماره: 9</v>
      </c>
    </row>
    <row r="349" spans="1:9" ht="12" customHeight="1">
      <c r="A349" s="612"/>
      <c r="B349" s="585"/>
      <c r="C349" s="54"/>
      <c r="D349" s="54"/>
      <c r="E349" s="54"/>
      <c r="F349" s="54"/>
      <c r="G349" s="560"/>
      <c r="H349" s="562"/>
      <c r="I349" s="564"/>
    </row>
    <row r="350" spans="1:9" ht="12" customHeight="1">
      <c r="A350" s="612"/>
      <c r="B350" s="584" t="str">
        <f>B192</f>
        <v>فونداسیون  ZONE Y3</v>
      </c>
      <c r="C350" s="53"/>
      <c r="D350" s="53"/>
      <c r="E350" s="54"/>
      <c r="F350" s="53"/>
      <c r="G350" s="559">
        <f>G192</f>
        <v>138.08000000000001</v>
      </c>
      <c r="H350" s="561"/>
      <c r="I350" s="563" t="str">
        <f>I192</f>
        <v>صورتجلسه شماره: 10</v>
      </c>
    </row>
    <row r="351" spans="1:9" ht="12" customHeight="1">
      <c r="A351" s="612"/>
      <c r="B351" s="585"/>
      <c r="C351" s="54"/>
      <c r="D351" s="54"/>
      <c r="E351" s="54"/>
      <c r="F351" s="54"/>
      <c r="G351" s="560"/>
      <c r="H351" s="562"/>
      <c r="I351" s="564"/>
    </row>
    <row r="352" spans="1:9" ht="12" customHeight="1">
      <c r="A352" s="613"/>
      <c r="B352" s="565" t="s">
        <v>33</v>
      </c>
      <c r="C352" s="566"/>
      <c r="D352" s="566"/>
      <c r="E352" s="567"/>
      <c r="F352" s="299" t="str">
        <f>A333</f>
        <v>060806</v>
      </c>
      <c r="G352" s="300">
        <f>SUM(G334:G351)</f>
        <v>1157.04</v>
      </c>
      <c r="H352" s="301">
        <f>SUM(H336:H337)</f>
        <v>0</v>
      </c>
      <c r="I352" s="302" t="str">
        <f>IF(F352="","",VLOOKUP(F352,'ابنیه 95'!$A:$E,3,FALSE))</f>
        <v>مترمربع</v>
      </c>
    </row>
    <row r="353" spans="1:9" ht="12" customHeight="1">
      <c r="A353" s="586" t="s">
        <v>109</v>
      </c>
      <c r="B353" s="587"/>
      <c r="C353" s="587"/>
      <c r="D353" s="587"/>
      <c r="E353" s="587"/>
      <c r="F353" s="587"/>
      <c r="G353" s="587"/>
      <c r="H353" s="587"/>
      <c r="I353" s="588"/>
    </row>
    <row r="354" spans="1:9" ht="12" customHeight="1">
      <c r="A354" s="551" t="s">
        <v>166</v>
      </c>
      <c r="B354" s="571" t="str">
        <f>IF(A354="","",VLOOKUP(A354,'ابنیه 95'!$A:$E,2,FALSE))</f>
        <v>تهيه، بريدن، خم كردن و كار گذاشتن ميل گرد ساده به قطر تا 10 ميلي‌متر، براي بتن مسلح با سيم پيچي لازم.</v>
      </c>
      <c r="C354" s="572"/>
      <c r="D354" s="572"/>
      <c r="E354" s="572"/>
      <c r="F354" s="572"/>
      <c r="G354" s="572"/>
      <c r="H354" s="572"/>
      <c r="I354" s="573"/>
    </row>
    <row r="355" spans="1:9" ht="12" customHeight="1">
      <c r="A355" s="612"/>
      <c r="B355" s="584" t="str">
        <f>B250</f>
        <v xml:space="preserve">سقف زیرزمین درZONE Z1 </v>
      </c>
      <c r="C355" s="53"/>
      <c r="D355" s="53"/>
      <c r="E355" s="53"/>
      <c r="F355" s="53"/>
      <c r="G355" s="559">
        <f>180*1.3</f>
        <v>234</v>
      </c>
      <c r="H355" s="561"/>
      <c r="I355" s="563" t="str">
        <f>I250</f>
        <v>علی الحساب</v>
      </c>
    </row>
    <row r="356" spans="1:9" ht="12" customHeight="1">
      <c r="A356" s="612"/>
      <c r="B356" s="585"/>
      <c r="C356" s="53"/>
      <c r="D356" s="53"/>
      <c r="E356" s="54"/>
      <c r="F356" s="53"/>
      <c r="G356" s="560"/>
      <c r="H356" s="562"/>
      <c r="I356" s="564"/>
    </row>
    <row r="357" spans="1:9" ht="12" customHeight="1">
      <c r="A357" s="612"/>
      <c r="B357" s="584" t="str">
        <f>B252</f>
        <v>سقف زیرزمین درZONE Z2</v>
      </c>
      <c r="C357" s="53"/>
      <c r="D357" s="53"/>
      <c r="E357" s="53"/>
      <c r="F357" s="53"/>
      <c r="G357" s="559">
        <f>956.64*1.3</f>
        <v>1243.6320000000001</v>
      </c>
      <c r="H357" s="561"/>
      <c r="I357" s="563" t="str">
        <f>I252</f>
        <v>علی الحساب</v>
      </c>
    </row>
    <row r="358" spans="1:9" ht="12" customHeight="1">
      <c r="A358" s="612"/>
      <c r="B358" s="585"/>
      <c r="C358" s="53"/>
      <c r="D358" s="53"/>
      <c r="E358" s="54"/>
      <c r="F358" s="53"/>
      <c r="G358" s="560"/>
      <c r="H358" s="562"/>
      <c r="I358" s="564"/>
    </row>
    <row r="359" spans="1:9" ht="12" customHeight="1">
      <c r="A359" s="612"/>
      <c r="B359" s="584" t="str">
        <f>B254</f>
        <v>سقف زیرزمین درZONE Z3</v>
      </c>
      <c r="C359" s="53"/>
      <c r="D359" s="53"/>
      <c r="E359" s="53"/>
      <c r="F359" s="53"/>
      <c r="G359" s="559">
        <f>741.86*1.3</f>
        <v>964.41800000000001</v>
      </c>
      <c r="H359" s="561"/>
      <c r="I359" s="563" t="str">
        <f>I254</f>
        <v>علی الحساب</v>
      </c>
    </row>
    <row r="360" spans="1:9" ht="12" customHeight="1">
      <c r="A360" s="612"/>
      <c r="B360" s="585"/>
      <c r="C360" s="53"/>
      <c r="D360" s="53"/>
      <c r="E360" s="54"/>
      <c r="F360" s="53"/>
      <c r="G360" s="560"/>
      <c r="H360" s="562"/>
      <c r="I360" s="564"/>
    </row>
    <row r="361" spans="1:9" ht="12" customHeight="1">
      <c r="A361" s="612"/>
      <c r="B361" s="584" t="str">
        <f>B256</f>
        <v>سقف زیرزمین درZONE Z4</v>
      </c>
      <c r="C361" s="53"/>
      <c r="D361" s="53"/>
      <c r="E361" s="53"/>
      <c r="F361" s="53"/>
      <c r="G361" s="559">
        <f>1284.73*1.3</f>
        <v>1670.1490000000001</v>
      </c>
      <c r="H361" s="561"/>
      <c r="I361" s="563" t="str">
        <f>I256</f>
        <v>علی الحساب</v>
      </c>
    </row>
    <row r="362" spans="1:9" ht="12" customHeight="1">
      <c r="A362" s="612"/>
      <c r="B362" s="585"/>
      <c r="C362" s="53"/>
      <c r="D362" s="53"/>
      <c r="E362" s="54"/>
      <c r="F362" s="53"/>
      <c r="G362" s="560"/>
      <c r="H362" s="562"/>
      <c r="I362" s="564"/>
    </row>
    <row r="363" spans="1:9" ht="12" customHeight="1">
      <c r="A363" s="612"/>
      <c r="B363" s="584" t="str">
        <f>B258</f>
        <v>سقف زیرزمین درZONE Z5</v>
      </c>
      <c r="C363" s="53"/>
      <c r="D363" s="53"/>
      <c r="E363" s="53"/>
      <c r="F363" s="53"/>
      <c r="G363" s="559">
        <f>235.65*1.3</f>
        <v>306.34500000000003</v>
      </c>
      <c r="H363" s="561"/>
      <c r="I363" s="563" t="str">
        <f>I258</f>
        <v>علی الحساب</v>
      </c>
    </row>
    <row r="364" spans="1:9" ht="12" customHeight="1">
      <c r="A364" s="612"/>
      <c r="B364" s="585"/>
      <c r="C364" s="53"/>
      <c r="D364" s="53"/>
      <c r="E364" s="54"/>
      <c r="F364" s="53"/>
      <c r="G364" s="560"/>
      <c r="H364" s="562"/>
      <c r="I364" s="564"/>
    </row>
    <row r="365" spans="1:9" ht="12" customHeight="1">
      <c r="A365" s="612"/>
      <c r="B365" s="584" t="str">
        <f>B260</f>
        <v>سقف زیرزمین درZONE Y1</v>
      </c>
      <c r="C365" s="53"/>
      <c r="D365" s="53"/>
      <c r="E365" s="53"/>
      <c r="F365" s="53"/>
      <c r="G365" s="559">
        <v>452.53</v>
      </c>
      <c r="H365" s="561"/>
      <c r="I365" s="563" t="str">
        <f>I260</f>
        <v>صورتجلسه شماره:12</v>
      </c>
    </row>
    <row r="366" spans="1:9" ht="12" customHeight="1">
      <c r="A366" s="612"/>
      <c r="B366" s="585"/>
      <c r="C366" s="53"/>
      <c r="D366" s="53"/>
      <c r="E366" s="54"/>
      <c r="F366" s="53"/>
      <c r="G366" s="560"/>
      <c r="H366" s="562"/>
      <c r="I366" s="564"/>
    </row>
    <row r="367" spans="1:9" ht="12" customHeight="1">
      <c r="A367" s="612"/>
      <c r="B367" s="584" t="str">
        <f>B262</f>
        <v>سقف زیرزمین درZONE Y2</v>
      </c>
      <c r="C367" s="53"/>
      <c r="D367" s="53"/>
      <c r="E367" s="53"/>
      <c r="F367" s="53"/>
      <c r="G367" s="559">
        <v>710.97</v>
      </c>
      <c r="H367" s="561"/>
      <c r="I367" s="563" t="str">
        <f>I262</f>
        <v>صورتجلسه شماره:13</v>
      </c>
    </row>
    <row r="368" spans="1:9" ht="12" customHeight="1">
      <c r="A368" s="612"/>
      <c r="B368" s="585"/>
      <c r="C368" s="53"/>
      <c r="D368" s="53"/>
      <c r="E368" s="54"/>
      <c r="F368" s="53"/>
      <c r="G368" s="560"/>
      <c r="H368" s="562"/>
      <c r="I368" s="564"/>
    </row>
    <row r="369" spans="1:9" ht="12" customHeight="1">
      <c r="A369" s="612"/>
      <c r="B369" s="584" t="str">
        <f>B264</f>
        <v>سقف زیرزمین درZONE Y3</v>
      </c>
      <c r="C369" s="53"/>
      <c r="D369" s="53"/>
      <c r="E369" s="53"/>
      <c r="F369" s="53"/>
      <c r="G369" s="559">
        <v>932.3</v>
      </c>
      <c r="H369" s="561"/>
      <c r="I369" s="563" t="str">
        <f>I264</f>
        <v>علی الحساب</v>
      </c>
    </row>
    <row r="370" spans="1:9" ht="12" customHeight="1">
      <c r="A370" s="612"/>
      <c r="B370" s="585"/>
      <c r="C370" s="53"/>
      <c r="D370" s="53"/>
      <c r="E370" s="54"/>
      <c r="F370" s="53"/>
      <c r="G370" s="560"/>
      <c r="H370" s="562"/>
      <c r="I370" s="564"/>
    </row>
    <row r="371" spans="1:9" ht="12" customHeight="1">
      <c r="A371" s="612"/>
      <c r="B371" s="584" t="str">
        <f>B284</f>
        <v>عملیات انجام گرفته در سقف دوم ZONE Z1</v>
      </c>
      <c r="C371" s="53"/>
      <c r="D371" s="53"/>
      <c r="E371" s="53"/>
      <c r="F371" s="53"/>
      <c r="G371" s="559">
        <v>337.77</v>
      </c>
      <c r="H371" s="561"/>
      <c r="I371" s="608" t="str">
        <f>I284</f>
        <v>علی الحساب</v>
      </c>
    </row>
    <row r="372" spans="1:9" ht="12" customHeight="1">
      <c r="A372" s="612"/>
      <c r="B372" s="585"/>
      <c r="C372" s="53"/>
      <c r="D372" s="53"/>
      <c r="E372" s="54"/>
      <c r="F372" s="53"/>
      <c r="G372" s="560"/>
      <c r="H372" s="562"/>
      <c r="I372" s="609"/>
    </row>
    <row r="373" spans="1:9" ht="12" customHeight="1">
      <c r="A373" s="612"/>
      <c r="B373" s="584" t="str">
        <f t="shared" ref="B373" si="14">B286</f>
        <v>عملیات انجام گرفته در سقف دوم ZONE Z2</v>
      </c>
      <c r="C373" s="53"/>
      <c r="D373" s="53"/>
      <c r="E373" s="53"/>
      <c r="F373" s="53"/>
      <c r="G373" s="559">
        <v>1795.11</v>
      </c>
      <c r="H373" s="561"/>
      <c r="I373" s="608" t="str">
        <f t="shared" ref="I373" si="15">I286</f>
        <v>علی الحساب</v>
      </c>
    </row>
    <row r="374" spans="1:9" ht="12" customHeight="1">
      <c r="A374" s="612"/>
      <c r="B374" s="585"/>
      <c r="C374" s="53"/>
      <c r="D374" s="53"/>
      <c r="E374" s="54"/>
      <c r="F374" s="53"/>
      <c r="G374" s="560"/>
      <c r="H374" s="562"/>
      <c r="I374" s="609"/>
    </row>
    <row r="375" spans="1:9" ht="12" customHeight="1">
      <c r="A375" s="612"/>
      <c r="B375" s="584" t="str">
        <f t="shared" ref="B375" si="16">B288</f>
        <v>عملیات انجام گرفته در سقف دوم ZONE Z3</v>
      </c>
      <c r="C375" s="53"/>
      <c r="D375" s="53"/>
      <c r="E375" s="53"/>
      <c r="F375" s="53"/>
      <c r="G375" s="559">
        <v>1392.08</v>
      </c>
      <c r="H375" s="561"/>
      <c r="I375" s="608" t="str">
        <f t="shared" ref="I375" si="17">I288</f>
        <v>علی الحساب</v>
      </c>
    </row>
    <row r="376" spans="1:9" ht="12" customHeight="1">
      <c r="A376" s="612"/>
      <c r="B376" s="585"/>
      <c r="C376" s="53"/>
      <c r="D376" s="53"/>
      <c r="E376" s="54"/>
      <c r="F376" s="53"/>
      <c r="G376" s="560"/>
      <c r="H376" s="562"/>
      <c r="I376" s="609"/>
    </row>
    <row r="377" spans="1:9" ht="12" customHeight="1">
      <c r="A377" s="612"/>
      <c r="B377" s="584" t="str">
        <f t="shared" ref="B377" si="18">B290</f>
        <v>عملیات انجام گرفته در سقف دوم ZONE Z4</v>
      </c>
      <c r="C377" s="53"/>
      <c r="D377" s="53"/>
      <c r="E377" s="53"/>
      <c r="F377" s="53"/>
      <c r="G377" s="559">
        <v>2410.8000000000002</v>
      </c>
      <c r="H377" s="561"/>
      <c r="I377" s="608" t="str">
        <f t="shared" ref="I377" si="19">I290</f>
        <v>علی الحساب</v>
      </c>
    </row>
    <row r="378" spans="1:9" ht="12" customHeight="1">
      <c r="A378" s="612"/>
      <c r="B378" s="585"/>
      <c r="C378" s="53"/>
      <c r="D378" s="53"/>
      <c r="E378" s="54"/>
      <c r="F378" s="53"/>
      <c r="G378" s="560"/>
      <c r="H378" s="562"/>
      <c r="I378" s="609"/>
    </row>
    <row r="379" spans="1:9" ht="12" customHeight="1">
      <c r="A379" s="612"/>
      <c r="B379" s="584" t="str">
        <f t="shared" ref="B379" si="20">B292</f>
        <v>عملیات انجام گرفته در سقف دوم ZONE Z5</v>
      </c>
      <c r="C379" s="53"/>
      <c r="D379" s="53"/>
      <c r="E379" s="53"/>
      <c r="F379" s="53"/>
      <c r="G379" s="559">
        <v>442.2</v>
      </c>
      <c r="H379" s="561"/>
      <c r="I379" s="608" t="str">
        <f t="shared" ref="I379" si="21">I292</f>
        <v>علی الحساب</v>
      </c>
    </row>
    <row r="380" spans="1:9" ht="12" customHeight="1">
      <c r="A380" s="612"/>
      <c r="B380" s="585"/>
      <c r="C380" s="53"/>
      <c r="D380" s="53"/>
      <c r="E380" s="54"/>
      <c r="F380" s="53"/>
      <c r="G380" s="560"/>
      <c r="H380" s="562"/>
      <c r="I380" s="609"/>
    </row>
    <row r="381" spans="1:9" ht="12" customHeight="1">
      <c r="A381" s="612"/>
      <c r="B381" s="584" t="str">
        <f t="shared" ref="B381" si="22">B294</f>
        <v>عملیات انجام گرفته در سقف دوم ZONE Y1</v>
      </c>
      <c r="C381" s="53"/>
      <c r="D381" s="53"/>
      <c r="E381" s="53"/>
      <c r="F381" s="53"/>
      <c r="G381" s="559">
        <v>561.75</v>
      </c>
      <c r="H381" s="561"/>
      <c r="I381" s="608" t="str">
        <f t="shared" ref="I381" si="23">I294</f>
        <v>علی الحساب</v>
      </c>
    </row>
    <row r="382" spans="1:9" ht="12" customHeight="1">
      <c r="A382" s="612"/>
      <c r="B382" s="585"/>
      <c r="C382" s="53"/>
      <c r="D382" s="53"/>
      <c r="E382" s="54"/>
      <c r="F382" s="53"/>
      <c r="G382" s="560"/>
      <c r="H382" s="562"/>
      <c r="I382" s="609"/>
    </row>
    <row r="383" spans="1:9" ht="12" customHeight="1">
      <c r="A383" s="612"/>
      <c r="B383" s="584" t="str">
        <f t="shared" ref="B383" si="24">B296</f>
        <v>عملیات انجام گرفته در سقف دوم ZONE Y2</v>
      </c>
      <c r="C383" s="53"/>
      <c r="D383" s="53"/>
      <c r="E383" s="53"/>
      <c r="F383" s="53"/>
      <c r="G383" s="559">
        <v>919.52</v>
      </c>
      <c r="H383" s="561"/>
      <c r="I383" s="608" t="str">
        <f t="shared" ref="I383" si="25">I296</f>
        <v>علی الحساب</v>
      </c>
    </row>
    <row r="384" spans="1:9" ht="12" customHeight="1">
      <c r="A384" s="612"/>
      <c r="B384" s="585"/>
      <c r="C384" s="53"/>
      <c r="D384" s="53"/>
      <c r="E384" s="54"/>
      <c r="F384" s="53"/>
      <c r="G384" s="560"/>
      <c r="H384" s="562"/>
      <c r="I384" s="609"/>
    </row>
    <row r="385" spans="1:9" ht="12" customHeight="1">
      <c r="A385" s="612"/>
      <c r="B385" s="584" t="str">
        <f t="shared" ref="B385" si="26">B298</f>
        <v>عملیات انجام گرفته در سقف دوم ZONE Y3</v>
      </c>
      <c r="C385" s="53"/>
      <c r="D385" s="53"/>
      <c r="E385" s="53"/>
      <c r="F385" s="53"/>
      <c r="G385" s="559">
        <v>1345.73</v>
      </c>
      <c r="H385" s="561"/>
      <c r="I385" s="608" t="str">
        <f t="shared" ref="I385" si="27">I298</f>
        <v>علی الحساب</v>
      </c>
    </row>
    <row r="386" spans="1:9" ht="12" customHeight="1">
      <c r="A386" s="612"/>
      <c r="B386" s="585"/>
      <c r="C386" s="53"/>
      <c r="D386" s="53"/>
      <c r="E386" s="54"/>
      <c r="F386" s="53"/>
      <c r="G386" s="560"/>
      <c r="H386" s="562"/>
      <c r="I386" s="609"/>
    </row>
    <row r="387" spans="1:9" ht="12" customHeight="1">
      <c r="A387" s="613"/>
      <c r="B387" s="565" t="s">
        <v>33</v>
      </c>
      <c r="C387" s="566"/>
      <c r="D387" s="566"/>
      <c r="E387" s="567"/>
      <c r="F387" s="299" t="str">
        <f>A354</f>
        <v>070101</v>
      </c>
      <c r="G387" s="300">
        <f>SUM(G355:G386)</f>
        <v>15719.304000000004</v>
      </c>
      <c r="H387" s="301">
        <f>SUM(H355:H368)</f>
        <v>0</v>
      </c>
      <c r="I387" s="302" t="str">
        <f>IF(F387="","",VLOOKUP(F387,'ابنیه 95'!$A:$E,3,FALSE))</f>
        <v>کيلوگرم</v>
      </c>
    </row>
    <row r="388" spans="1:9" ht="12" customHeight="1">
      <c r="A388" s="551" t="s">
        <v>137</v>
      </c>
      <c r="B388" s="571" t="str">
        <f>IF(A388="","",VLOOKUP(A388,'ابنیه 95'!$A:$E,2,FALSE))</f>
        <v>تهيه، بريدن، خم كردن و كار گذاشتن ميل گرد آجدار از نوع AII به قطر تا 10 ميلي‌متر، براي بتن مسلح با سيم پيچي لازم .</v>
      </c>
      <c r="C388" s="572"/>
      <c r="D388" s="572"/>
      <c r="E388" s="572"/>
      <c r="F388" s="572"/>
      <c r="G388" s="572"/>
      <c r="H388" s="572"/>
      <c r="I388" s="573"/>
    </row>
    <row r="389" spans="1:9" ht="12" customHeight="1">
      <c r="A389" s="612"/>
      <c r="B389" s="584" t="str">
        <f>B336</f>
        <v xml:space="preserve">فونداسیون  ZONE Z1 </v>
      </c>
      <c r="C389" s="53"/>
      <c r="D389" s="53"/>
      <c r="E389" s="53"/>
      <c r="F389" s="53"/>
      <c r="G389" s="559">
        <v>19.36</v>
      </c>
      <c r="H389" s="561"/>
      <c r="I389" s="563" t="str">
        <f>I336</f>
        <v>صورتجلسه شماره: 3</v>
      </c>
    </row>
    <row r="390" spans="1:9" ht="12" customHeight="1">
      <c r="A390" s="612"/>
      <c r="B390" s="585"/>
      <c r="C390" s="53"/>
      <c r="D390" s="53"/>
      <c r="E390" s="54"/>
      <c r="F390" s="53"/>
      <c r="G390" s="560"/>
      <c r="H390" s="562"/>
      <c r="I390" s="564"/>
    </row>
    <row r="391" spans="1:9" ht="12" customHeight="1">
      <c r="A391" s="612"/>
      <c r="B391" s="584" t="s">
        <v>1771</v>
      </c>
      <c r="C391" s="53"/>
      <c r="D391" s="53"/>
      <c r="E391" s="53"/>
      <c r="F391" s="53"/>
      <c r="G391" s="559">
        <v>65.180000000000007</v>
      </c>
      <c r="H391" s="561"/>
      <c r="I391" s="563" t="str">
        <f>I338</f>
        <v>صورتجلسه شماره: 4</v>
      </c>
    </row>
    <row r="392" spans="1:9" ht="12" customHeight="1">
      <c r="A392" s="612"/>
      <c r="B392" s="585"/>
      <c r="C392" s="53"/>
      <c r="D392" s="53"/>
      <c r="E392" s="54"/>
      <c r="F392" s="53"/>
      <c r="G392" s="560"/>
      <c r="H392" s="562"/>
      <c r="I392" s="564"/>
    </row>
    <row r="393" spans="1:9" ht="12" customHeight="1">
      <c r="A393" s="612"/>
      <c r="B393" s="584" t="s">
        <v>1772</v>
      </c>
      <c r="C393" s="53"/>
      <c r="D393" s="53"/>
      <c r="E393" s="53"/>
      <c r="F393" s="53"/>
      <c r="G393" s="559">
        <v>49.77</v>
      </c>
      <c r="H393" s="561"/>
      <c r="I393" s="563" t="str">
        <f>I340</f>
        <v>صورتجلسه شماره: 5</v>
      </c>
    </row>
    <row r="394" spans="1:9" ht="12" customHeight="1">
      <c r="A394" s="612"/>
      <c r="B394" s="585"/>
      <c r="C394" s="275"/>
      <c r="D394" s="275"/>
      <c r="E394" s="292"/>
      <c r="F394" s="275"/>
      <c r="G394" s="560"/>
      <c r="H394" s="562"/>
      <c r="I394" s="564"/>
    </row>
    <row r="395" spans="1:9" ht="12" customHeight="1">
      <c r="A395" s="612"/>
      <c r="B395" s="584" t="s">
        <v>1773</v>
      </c>
      <c r="C395" s="53"/>
      <c r="D395" s="53"/>
      <c r="E395" s="53"/>
      <c r="F395" s="53"/>
      <c r="G395" s="559">
        <v>79</v>
      </c>
      <c r="H395" s="561"/>
      <c r="I395" s="563" t="str">
        <f>I342</f>
        <v>صورتجلسه شماره: 6</v>
      </c>
    </row>
    <row r="396" spans="1:9" ht="12" customHeight="1">
      <c r="A396" s="612"/>
      <c r="B396" s="585"/>
      <c r="C396" s="275"/>
      <c r="D396" s="275"/>
      <c r="E396" s="292"/>
      <c r="F396" s="275"/>
      <c r="G396" s="560"/>
      <c r="H396" s="562"/>
      <c r="I396" s="564"/>
    </row>
    <row r="397" spans="1:9" ht="12" customHeight="1">
      <c r="A397" s="612"/>
      <c r="B397" s="584" t="s">
        <v>1774</v>
      </c>
      <c r="C397" s="53"/>
      <c r="D397" s="53"/>
      <c r="E397" s="53"/>
      <c r="F397" s="53"/>
      <c r="G397" s="559">
        <v>21.33</v>
      </c>
      <c r="H397" s="561"/>
      <c r="I397" s="563" t="str">
        <f>I344</f>
        <v>صورتجلسه شماره: 7</v>
      </c>
    </row>
    <row r="398" spans="1:9" ht="12" customHeight="1">
      <c r="A398" s="612"/>
      <c r="B398" s="585"/>
      <c r="C398" s="53"/>
      <c r="D398" s="53"/>
      <c r="E398" s="54"/>
      <c r="F398" s="53"/>
      <c r="G398" s="560"/>
      <c r="H398" s="562"/>
      <c r="I398" s="564"/>
    </row>
    <row r="399" spans="1:9" ht="12" customHeight="1">
      <c r="A399" s="612"/>
      <c r="B399" s="584" t="s">
        <v>1775</v>
      </c>
      <c r="C399" s="53"/>
      <c r="D399" s="53"/>
      <c r="E399" s="53"/>
      <c r="F399" s="53"/>
      <c r="G399" s="559">
        <v>31.6</v>
      </c>
      <c r="H399" s="561"/>
      <c r="I399" s="563" t="str">
        <f>I346</f>
        <v>صورتجلسه شماره: 8</v>
      </c>
    </row>
    <row r="400" spans="1:9" ht="12" customHeight="1">
      <c r="A400" s="612"/>
      <c r="B400" s="585"/>
      <c r="C400" s="275"/>
      <c r="D400" s="275"/>
      <c r="E400" s="292"/>
      <c r="F400" s="275"/>
      <c r="G400" s="560"/>
      <c r="H400" s="562"/>
      <c r="I400" s="564"/>
    </row>
    <row r="401" spans="1:9" ht="12" customHeight="1">
      <c r="A401" s="612"/>
      <c r="B401" s="584" t="s">
        <v>1776</v>
      </c>
      <c r="C401" s="53"/>
      <c r="D401" s="53"/>
      <c r="E401" s="53"/>
      <c r="F401" s="53"/>
      <c r="G401" s="559">
        <v>41.48</v>
      </c>
      <c r="H401" s="561"/>
      <c r="I401" s="563" t="str">
        <f>I348</f>
        <v>صورتجلسه شماره: 9</v>
      </c>
    </row>
    <row r="402" spans="1:9" ht="12" customHeight="1">
      <c r="A402" s="612"/>
      <c r="B402" s="585"/>
      <c r="C402" s="275"/>
      <c r="D402" s="275"/>
      <c r="E402" s="292"/>
      <c r="F402" s="275"/>
      <c r="G402" s="560"/>
      <c r="H402" s="562"/>
      <c r="I402" s="564"/>
    </row>
    <row r="403" spans="1:9" ht="12" customHeight="1">
      <c r="A403" s="612"/>
      <c r="B403" s="584" t="s">
        <v>1777</v>
      </c>
      <c r="C403" s="53"/>
      <c r="D403" s="53"/>
      <c r="E403" s="53"/>
      <c r="F403" s="53"/>
      <c r="G403" s="559">
        <v>52.54</v>
      </c>
      <c r="H403" s="561"/>
      <c r="I403" s="563" t="str">
        <f>I350</f>
        <v>صورتجلسه شماره: 10</v>
      </c>
    </row>
    <row r="404" spans="1:9" ht="12" customHeight="1">
      <c r="A404" s="612"/>
      <c r="B404" s="585"/>
      <c r="C404" s="275"/>
      <c r="D404" s="275"/>
      <c r="E404" s="292"/>
      <c r="F404" s="275"/>
      <c r="G404" s="560"/>
      <c r="H404" s="562"/>
      <c r="I404" s="564"/>
    </row>
    <row r="405" spans="1:9" ht="12" customHeight="1">
      <c r="A405" s="612"/>
      <c r="B405" s="584" t="str">
        <f>B196</f>
        <v xml:space="preserve"> ستونهای طبقه زیرزمین   ZONE Z ,Y</v>
      </c>
      <c r="C405" s="53"/>
      <c r="D405" s="53"/>
      <c r="E405" s="53"/>
      <c r="F405" s="53"/>
      <c r="G405" s="559">
        <v>2803.63</v>
      </c>
      <c r="H405" s="561"/>
      <c r="I405" s="608" t="str">
        <f>I196</f>
        <v>صورتجلسه شماره: 11</v>
      </c>
    </row>
    <row r="406" spans="1:9" ht="12" customHeight="1">
      <c r="A406" s="612"/>
      <c r="B406" s="585"/>
      <c r="C406" s="400"/>
      <c r="D406" s="400"/>
      <c r="E406" s="401"/>
      <c r="F406" s="400"/>
      <c r="G406" s="560"/>
      <c r="H406" s="562"/>
      <c r="I406" s="609"/>
    </row>
    <row r="407" spans="1:9" ht="12" customHeight="1">
      <c r="A407" s="612"/>
      <c r="B407" s="584" t="str">
        <f>B355</f>
        <v xml:space="preserve">سقف زیرزمین درZONE Z1 </v>
      </c>
      <c r="C407" s="53"/>
      <c r="D407" s="53"/>
      <c r="E407" s="53"/>
      <c r="F407" s="53"/>
      <c r="G407" s="559">
        <f>210*1.3</f>
        <v>273</v>
      </c>
      <c r="H407" s="561"/>
      <c r="I407" s="563" t="str">
        <f>I250</f>
        <v>علی الحساب</v>
      </c>
    </row>
    <row r="408" spans="1:9" ht="12" customHeight="1">
      <c r="A408" s="612"/>
      <c r="B408" s="585"/>
      <c r="C408" s="53"/>
      <c r="D408" s="53"/>
      <c r="E408" s="54"/>
      <c r="F408" s="53"/>
      <c r="G408" s="560"/>
      <c r="H408" s="562"/>
      <c r="I408" s="564"/>
    </row>
    <row r="409" spans="1:9" ht="12" customHeight="1">
      <c r="A409" s="612"/>
      <c r="B409" s="584" t="str">
        <f>B357</f>
        <v>سقف زیرزمین درZONE Z2</v>
      </c>
      <c r="C409" s="53"/>
      <c r="D409" s="53"/>
      <c r="E409" s="53"/>
      <c r="F409" s="53"/>
      <c r="G409" s="559">
        <f>1116.07*1.3</f>
        <v>1450.8910000000001</v>
      </c>
      <c r="H409" s="561"/>
      <c r="I409" s="563" t="str">
        <f>I252</f>
        <v>علی الحساب</v>
      </c>
    </row>
    <row r="410" spans="1:9" ht="12" customHeight="1">
      <c r="A410" s="612"/>
      <c r="B410" s="585"/>
      <c r="C410" s="53"/>
      <c r="D410" s="53"/>
      <c r="E410" s="54"/>
      <c r="F410" s="53"/>
      <c r="G410" s="560"/>
      <c r="H410" s="562"/>
      <c r="I410" s="564"/>
    </row>
    <row r="411" spans="1:9" ht="12" customHeight="1">
      <c r="A411" s="612"/>
      <c r="B411" s="584" t="str">
        <f>B359</f>
        <v>سقف زیرزمین درZONE Z3</v>
      </c>
      <c r="C411" s="53"/>
      <c r="D411" s="53"/>
      <c r="E411" s="53"/>
      <c r="F411" s="53"/>
      <c r="G411" s="559">
        <f>865.5*1.3</f>
        <v>1125.1500000000001</v>
      </c>
      <c r="H411" s="561"/>
      <c r="I411" s="563" t="str">
        <f>I254</f>
        <v>علی الحساب</v>
      </c>
    </row>
    <row r="412" spans="1:9" ht="12" customHeight="1">
      <c r="A412" s="612"/>
      <c r="B412" s="585"/>
      <c r="C412" s="53"/>
      <c r="D412" s="53"/>
      <c r="E412" s="54"/>
      <c r="F412" s="53"/>
      <c r="G412" s="560"/>
      <c r="H412" s="562"/>
      <c r="I412" s="564"/>
    </row>
    <row r="413" spans="1:9" ht="12" customHeight="1">
      <c r="A413" s="612"/>
      <c r="B413" s="584" t="str">
        <f>B361</f>
        <v>سقف زیرزمین درZONE Z4</v>
      </c>
      <c r="C413" s="53"/>
      <c r="D413" s="53"/>
      <c r="E413" s="53"/>
      <c r="F413" s="53"/>
      <c r="G413" s="559">
        <f>1498.85*1.3</f>
        <v>1948.5049999999999</v>
      </c>
      <c r="H413" s="561"/>
      <c r="I413" s="563" t="str">
        <f>I256</f>
        <v>علی الحساب</v>
      </c>
    </row>
    <row r="414" spans="1:9" ht="12" customHeight="1">
      <c r="A414" s="612"/>
      <c r="B414" s="585"/>
      <c r="C414" s="53"/>
      <c r="D414" s="53"/>
      <c r="E414" s="54"/>
      <c r="F414" s="53"/>
      <c r="G414" s="560"/>
      <c r="H414" s="562"/>
      <c r="I414" s="564"/>
    </row>
    <row r="415" spans="1:9" ht="12" customHeight="1">
      <c r="A415" s="612"/>
      <c r="B415" s="584" t="str">
        <f>B363</f>
        <v>سقف زیرزمین درZONE Z5</v>
      </c>
      <c r="C415" s="53"/>
      <c r="D415" s="53"/>
      <c r="E415" s="53"/>
      <c r="F415" s="53"/>
      <c r="G415" s="559">
        <f>274.93*1.3</f>
        <v>357.40900000000005</v>
      </c>
      <c r="H415" s="561"/>
      <c r="I415" s="563" t="str">
        <f>I258</f>
        <v>علی الحساب</v>
      </c>
    </row>
    <row r="416" spans="1:9" ht="12" customHeight="1">
      <c r="A416" s="612"/>
      <c r="B416" s="585"/>
      <c r="C416" s="53"/>
      <c r="D416" s="53"/>
      <c r="E416" s="54"/>
      <c r="F416" s="53"/>
      <c r="G416" s="560"/>
      <c r="H416" s="562"/>
      <c r="I416" s="564"/>
    </row>
    <row r="417" spans="1:9" ht="12" customHeight="1">
      <c r="A417" s="612"/>
      <c r="B417" s="584" t="str">
        <f>B365</f>
        <v>سقف زیرزمین درZONE Y1</v>
      </c>
      <c r="C417" s="53"/>
      <c r="D417" s="53"/>
      <c r="E417" s="53"/>
      <c r="F417" s="53"/>
      <c r="G417" s="559">
        <v>395.95</v>
      </c>
      <c r="H417" s="561"/>
      <c r="I417" s="563" t="str">
        <f>I260</f>
        <v>صورتجلسه شماره:12</v>
      </c>
    </row>
    <row r="418" spans="1:9" ht="12" customHeight="1">
      <c r="A418" s="612"/>
      <c r="B418" s="585"/>
      <c r="C418" s="53"/>
      <c r="D418" s="53"/>
      <c r="E418" s="54"/>
      <c r="F418" s="53"/>
      <c r="G418" s="560"/>
      <c r="H418" s="562"/>
      <c r="I418" s="564"/>
    </row>
    <row r="419" spans="1:9" ht="11.4" customHeight="1">
      <c r="A419" s="612"/>
      <c r="B419" s="584" t="str">
        <f>B367</f>
        <v>سقف زیرزمین درZONE Y2</v>
      </c>
      <c r="C419" s="53"/>
      <c r="D419" s="53"/>
      <c r="E419" s="53"/>
      <c r="F419" s="53"/>
      <c r="G419" s="559">
        <v>653.57000000000005</v>
      </c>
      <c r="H419" s="561"/>
      <c r="I419" s="563" t="str">
        <f>I262</f>
        <v>صورتجلسه شماره:13</v>
      </c>
    </row>
    <row r="420" spans="1:9" ht="11.4" customHeight="1">
      <c r="A420" s="612"/>
      <c r="B420" s="585"/>
      <c r="C420" s="53"/>
      <c r="D420" s="53"/>
      <c r="E420" s="54"/>
      <c r="F420" s="53"/>
      <c r="G420" s="560"/>
      <c r="H420" s="562"/>
      <c r="I420" s="564"/>
    </row>
    <row r="421" spans="1:9" ht="11.4" customHeight="1">
      <c r="A421" s="612"/>
      <c r="B421" s="584" t="str">
        <f>B369</f>
        <v>سقف زیرزمین درZONE Y3</v>
      </c>
      <c r="C421" s="53"/>
      <c r="D421" s="53"/>
      <c r="E421" s="53"/>
      <c r="F421" s="53"/>
      <c r="G421" s="559">
        <v>1087.68</v>
      </c>
      <c r="H421" s="561"/>
      <c r="I421" s="563" t="str">
        <f>I264</f>
        <v>علی الحساب</v>
      </c>
    </row>
    <row r="422" spans="1:9" ht="11.4" customHeight="1">
      <c r="A422" s="612"/>
      <c r="B422" s="585"/>
      <c r="C422" s="53"/>
      <c r="D422" s="53"/>
      <c r="E422" s="54"/>
      <c r="F422" s="53"/>
      <c r="G422" s="560"/>
      <c r="H422" s="562"/>
      <c r="I422" s="564"/>
    </row>
    <row r="423" spans="1:9" ht="11.4" customHeight="1">
      <c r="A423" s="612"/>
      <c r="B423" s="584" t="str">
        <f>B198</f>
        <v xml:space="preserve"> ستونهای طبقه اول  مرحله اول ZONE Z1</v>
      </c>
      <c r="C423" s="53"/>
      <c r="D423" s="53"/>
      <c r="E423" s="53"/>
      <c r="F423" s="53"/>
      <c r="G423" s="559">
        <f>10.5+168*1.3</f>
        <v>228.9</v>
      </c>
      <c r="H423" s="561"/>
      <c r="I423" s="563" t="str">
        <f>I198</f>
        <v>علی الحساب</v>
      </c>
    </row>
    <row r="424" spans="1:9" ht="11.4" customHeight="1">
      <c r="A424" s="612"/>
      <c r="B424" s="585"/>
      <c r="C424" s="53"/>
      <c r="D424" s="53"/>
      <c r="E424" s="54"/>
      <c r="F424" s="53"/>
      <c r="G424" s="560"/>
      <c r="H424" s="562"/>
      <c r="I424" s="564"/>
    </row>
    <row r="425" spans="1:9" ht="11.4" customHeight="1">
      <c r="A425" s="612"/>
      <c r="B425" s="584" t="str">
        <f>B200</f>
        <v xml:space="preserve"> ستونهای طبقه اول  مرحله اول ZONE Z2</v>
      </c>
      <c r="C425" s="53"/>
      <c r="D425" s="53"/>
      <c r="E425" s="53"/>
      <c r="F425" s="53"/>
      <c r="G425" s="559">
        <f>(31.8+430+120)*1.3</f>
        <v>756.33999999999992</v>
      </c>
      <c r="H425" s="561"/>
      <c r="I425" s="563" t="str">
        <f>I200</f>
        <v>علی الحساب</v>
      </c>
    </row>
    <row r="426" spans="1:9" ht="11.4" customHeight="1">
      <c r="A426" s="612"/>
      <c r="B426" s="585"/>
      <c r="C426" s="53"/>
      <c r="D426" s="53"/>
      <c r="E426" s="54"/>
      <c r="F426" s="53"/>
      <c r="G426" s="560"/>
      <c r="H426" s="562"/>
      <c r="I426" s="564"/>
    </row>
    <row r="427" spans="1:9" ht="11.4" customHeight="1">
      <c r="A427" s="612"/>
      <c r="B427" s="584" t="str">
        <f>B202</f>
        <v xml:space="preserve"> ستونهای طبقه اول  مرحله اول ZONE Z3</v>
      </c>
      <c r="C427" s="53"/>
      <c r="D427" s="53"/>
      <c r="E427" s="53"/>
      <c r="F427" s="53"/>
      <c r="G427" s="559">
        <f>(32.1+480+120)*1.3</f>
        <v>821.73</v>
      </c>
      <c r="H427" s="561"/>
      <c r="I427" s="563" t="str">
        <f>I202</f>
        <v>علی الحساب</v>
      </c>
    </row>
    <row r="428" spans="1:9" ht="11.4" customHeight="1">
      <c r="A428" s="612"/>
      <c r="B428" s="585"/>
      <c r="C428" s="53"/>
      <c r="D428" s="53"/>
      <c r="E428" s="54"/>
      <c r="F428" s="53"/>
      <c r="G428" s="560"/>
      <c r="H428" s="562"/>
      <c r="I428" s="564"/>
    </row>
    <row r="429" spans="1:9" ht="11.4" customHeight="1">
      <c r="A429" s="612"/>
      <c r="B429" s="584" t="str">
        <f>B204</f>
        <v xml:space="preserve"> ستونهای طبقه اول  مرحله اول ZONE Z4</v>
      </c>
      <c r="C429" s="53"/>
      <c r="D429" s="53"/>
      <c r="E429" s="53"/>
      <c r="F429" s="53"/>
      <c r="G429" s="559">
        <f>(38.1+451+131)*1.3</f>
        <v>806.13000000000011</v>
      </c>
      <c r="H429" s="561"/>
      <c r="I429" s="563" t="str">
        <f>I204</f>
        <v>علی الحساب</v>
      </c>
    </row>
    <row r="430" spans="1:9" ht="11.4" customHeight="1">
      <c r="A430" s="612"/>
      <c r="B430" s="585"/>
      <c r="C430" s="53"/>
      <c r="D430" s="53"/>
      <c r="E430" s="54"/>
      <c r="F430" s="53"/>
      <c r="G430" s="560"/>
      <c r="H430" s="562"/>
      <c r="I430" s="564"/>
    </row>
    <row r="431" spans="1:9" ht="11.4" customHeight="1">
      <c r="A431" s="612"/>
      <c r="B431" s="584" t="str">
        <f>B206</f>
        <v xml:space="preserve"> ستونهای طبقه اول  مرحله اول ZONE Z5</v>
      </c>
      <c r="C431" s="53"/>
      <c r="D431" s="53"/>
      <c r="E431" s="53"/>
      <c r="F431" s="53"/>
      <c r="G431" s="559">
        <f>(12.5+45+110)*1.3</f>
        <v>217.75</v>
      </c>
      <c r="H431" s="561"/>
      <c r="I431" s="563" t="str">
        <f>I206</f>
        <v>علی الحساب</v>
      </c>
    </row>
    <row r="432" spans="1:9" ht="11.4" customHeight="1">
      <c r="A432" s="612"/>
      <c r="B432" s="585"/>
      <c r="C432" s="53"/>
      <c r="D432" s="53"/>
      <c r="E432" s="54"/>
      <c r="F432" s="53"/>
      <c r="G432" s="560"/>
      <c r="H432" s="562"/>
      <c r="I432" s="564"/>
    </row>
    <row r="433" spans="1:9" ht="11.4" customHeight="1">
      <c r="A433" s="612"/>
      <c r="B433" s="584" t="str">
        <f>B208</f>
        <v xml:space="preserve"> ستونهای طبقه اول  مرحله اول ZONE Y1</v>
      </c>
      <c r="C433" s="53"/>
      <c r="D433" s="53"/>
      <c r="E433" s="53"/>
      <c r="F433" s="53"/>
      <c r="G433" s="559">
        <f>296*1.3</f>
        <v>384.8</v>
      </c>
      <c r="H433" s="561"/>
      <c r="I433" s="563" t="str">
        <f>I208</f>
        <v>علی الحساب</v>
      </c>
    </row>
    <row r="434" spans="1:9" ht="11.4" customHeight="1">
      <c r="A434" s="612"/>
      <c r="B434" s="585"/>
      <c r="C434" s="53"/>
      <c r="D434" s="53"/>
      <c r="E434" s="54"/>
      <c r="F434" s="53"/>
      <c r="G434" s="560"/>
      <c r="H434" s="562"/>
      <c r="I434" s="564"/>
    </row>
    <row r="435" spans="1:9" ht="11.4" customHeight="1">
      <c r="A435" s="612"/>
      <c r="B435" s="584" t="str">
        <f>B210</f>
        <v xml:space="preserve"> ستونهای طبقه اول  مرحله اول ZONE Y2</v>
      </c>
      <c r="C435" s="53"/>
      <c r="D435" s="53"/>
      <c r="E435" s="53"/>
      <c r="F435" s="53"/>
      <c r="G435" s="559">
        <f>484*1.3</f>
        <v>629.20000000000005</v>
      </c>
      <c r="H435" s="561"/>
      <c r="I435" s="563" t="str">
        <f>I210</f>
        <v>علی الحساب</v>
      </c>
    </row>
    <row r="436" spans="1:9" ht="11.4" customHeight="1">
      <c r="A436" s="612"/>
      <c r="B436" s="585"/>
      <c r="C436" s="53"/>
      <c r="D436" s="53"/>
      <c r="E436" s="54"/>
      <c r="F436" s="53"/>
      <c r="G436" s="560"/>
      <c r="H436" s="562"/>
      <c r="I436" s="564"/>
    </row>
    <row r="437" spans="1:9" ht="11.4" customHeight="1">
      <c r="A437" s="612"/>
      <c r="B437" s="584" t="str">
        <f>B212</f>
        <v xml:space="preserve"> ستونهای طبقه اول  مرحله اول ZONE Y3</v>
      </c>
      <c r="C437" s="53"/>
      <c r="D437" s="53"/>
      <c r="E437" s="53"/>
      <c r="F437" s="53"/>
      <c r="G437" s="559">
        <v>537.86</v>
      </c>
      <c r="H437" s="561"/>
      <c r="I437" s="563" t="str">
        <f>I212</f>
        <v>علی الحساب</v>
      </c>
    </row>
    <row r="438" spans="1:9" ht="11.4" customHeight="1">
      <c r="A438" s="612"/>
      <c r="B438" s="585"/>
      <c r="C438" s="53"/>
      <c r="D438" s="53"/>
      <c r="E438" s="54"/>
      <c r="F438" s="53"/>
      <c r="G438" s="560"/>
      <c r="H438" s="562"/>
      <c r="I438" s="564"/>
    </row>
    <row r="439" spans="1:9" ht="11.4" customHeight="1">
      <c r="A439" s="612"/>
      <c r="B439" s="584" t="str">
        <f>B318</f>
        <v>عملیات انجام گرفته درتیرهای ZONE Z1</v>
      </c>
      <c r="C439" s="53"/>
      <c r="D439" s="53"/>
      <c r="E439" s="54"/>
      <c r="F439" s="53"/>
      <c r="G439" s="559">
        <f>56*1.3</f>
        <v>72.8</v>
      </c>
      <c r="H439" s="561"/>
      <c r="I439" s="563" t="str">
        <f>I318</f>
        <v>علی الحساب</v>
      </c>
    </row>
    <row r="440" spans="1:9" ht="11.4" customHeight="1">
      <c r="A440" s="612"/>
      <c r="B440" s="585"/>
      <c r="C440" s="54"/>
      <c r="D440" s="54"/>
      <c r="E440" s="54"/>
      <c r="F440" s="54"/>
      <c r="G440" s="560"/>
      <c r="H440" s="562"/>
      <c r="I440" s="564"/>
    </row>
    <row r="441" spans="1:9" ht="11.4" customHeight="1">
      <c r="A441" s="612"/>
      <c r="B441" s="584" t="str">
        <f>B320</f>
        <v>عملیات انجام گرفته درتیرهای ZONE Z2</v>
      </c>
      <c r="C441" s="53"/>
      <c r="D441" s="53"/>
      <c r="E441" s="54"/>
      <c r="F441" s="53"/>
      <c r="G441" s="559">
        <f>297.62*1.3</f>
        <v>386.90600000000001</v>
      </c>
      <c r="H441" s="561"/>
      <c r="I441" s="563" t="str">
        <f>I320</f>
        <v>علی الحساب</v>
      </c>
    </row>
    <row r="442" spans="1:9" ht="11.4" customHeight="1">
      <c r="A442" s="612"/>
      <c r="B442" s="585"/>
      <c r="C442" s="54"/>
      <c r="D442" s="54"/>
      <c r="E442" s="54"/>
      <c r="F442" s="54"/>
      <c r="G442" s="560"/>
      <c r="H442" s="562"/>
      <c r="I442" s="564"/>
    </row>
    <row r="443" spans="1:9" ht="11.4" customHeight="1">
      <c r="A443" s="612"/>
      <c r="B443" s="584" t="str">
        <f>B322</f>
        <v>عملیات انجام گرفته درتیرهای ZONE Z3</v>
      </c>
      <c r="C443" s="53"/>
      <c r="D443" s="53"/>
      <c r="E443" s="54"/>
      <c r="F443" s="53"/>
      <c r="G443" s="559">
        <f>230.8*1.3</f>
        <v>300.04000000000002</v>
      </c>
      <c r="H443" s="561"/>
      <c r="I443" s="563" t="str">
        <f>I322</f>
        <v>علی الحساب</v>
      </c>
    </row>
    <row r="444" spans="1:9" ht="11.4" customHeight="1">
      <c r="A444" s="612"/>
      <c r="B444" s="585"/>
      <c r="C444" s="54"/>
      <c r="D444" s="54"/>
      <c r="E444" s="54"/>
      <c r="F444" s="54"/>
      <c r="G444" s="560"/>
      <c r="H444" s="562"/>
      <c r="I444" s="564"/>
    </row>
    <row r="445" spans="1:9" ht="11.4" customHeight="1">
      <c r="A445" s="612"/>
      <c r="B445" s="584" t="str">
        <f>B324</f>
        <v>عملیات انجام گرفته درتیرهای ZONE Z4</v>
      </c>
      <c r="C445" s="53"/>
      <c r="D445" s="53"/>
      <c r="E445" s="54"/>
      <c r="F445" s="53"/>
      <c r="G445" s="559">
        <f>399.69*1.3</f>
        <v>519.59699999999998</v>
      </c>
      <c r="H445" s="561"/>
      <c r="I445" s="563" t="str">
        <f>I324</f>
        <v>علی الحساب</v>
      </c>
    </row>
    <row r="446" spans="1:9" ht="11.4" customHeight="1">
      <c r="A446" s="612"/>
      <c r="B446" s="585"/>
      <c r="C446" s="54"/>
      <c r="D446" s="54"/>
      <c r="E446" s="54"/>
      <c r="F446" s="54"/>
      <c r="G446" s="560"/>
      <c r="H446" s="562"/>
      <c r="I446" s="564"/>
    </row>
    <row r="447" spans="1:9" ht="11.4" customHeight="1">
      <c r="A447" s="612"/>
      <c r="B447" s="584" t="str">
        <f>B326</f>
        <v>عملیات انجام گرفته درتیرهای ZONE Z5</v>
      </c>
      <c r="C447" s="53"/>
      <c r="D447" s="53"/>
      <c r="E447" s="54"/>
      <c r="F447" s="53"/>
      <c r="G447" s="559">
        <f>73.31*1.3</f>
        <v>95.303000000000011</v>
      </c>
      <c r="H447" s="561"/>
      <c r="I447" s="563" t="str">
        <f>I326</f>
        <v>علی الحساب</v>
      </c>
    </row>
    <row r="448" spans="1:9" ht="11.4" customHeight="1">
      <c r="A448" s="612"/>
      <c r="B448" s="585"/>
      <c r="C448" s="54"/>
      <c r="D448" s="54"/>
      <c r="E448" s="54"/>
      <c r="F448" s="54"/>
      <c r="G448" s="560"/>
      <c r="H448" s="562"/>
      <c r="I448" s="564"/>
    </row>
    <row r="449" spans="1:9" ht="11.4" customHeight="1">
      <c r="A449" s="612"/>
      <c r="B449" s="584" t="str">
        <f>B328</f>
        <v>عملیات انجام گرفته درتیرهای ZONE Y1</v>
      </c>
      <c r="C449" s="53"/>
      <c r="D449" s="53"/>
      <c r="E449" s="54"/>
      <c r="F449" s="53"/>
      <c r="G449" s="559">
        <f>93.13*1.3</f>
        <v>121.069</v>
      </c>
      <c r="H449" s="561"/>
      <c r="I449" s="563" t="str">
        <f>I328</f>
        <v>علی الحساب</v>
      </c>
    </row>
    <row r="450" spans="1:9" ht="11.4" customHeight="1">
      <c r="A450" s="612"/>
      <c r="B450" s="585"/>
      <c r="C450" s="54"/>
      <c r="D450" s="54"/>
      <c r="E450" s="54"/>
      <c r="F450" s="54"/>
      <c r="G450" s="560"/>
      <c r="H450" s="562"/>
      <c r="I450" s="564"/>
    </row>
    <row r="451" spans="1:9" ht="11.4" customHeight="1">
      <c r="A451" s="612"/>
      <c r="B451" s="584" t="str">
        <f>B330</f>
        <v>عملیات انجام گرفته درتیرهای ZONE Y2</v>
      </c>
      <c r="C451" s="53"/>
      <c r="D451" s="53"/>
      <c r="E451" s="54"/>
      <c r="F451" s="53"/>
      <c r="G451" s="559">
        <f>152.45*1.3</f>
        <v>198.185</v>
      </c>
      <c r="H451" s="561"/>
      <c r="I451" s="563" t="str">
        <f>I330</f>
        <v>علی الحساب</v>
      </c>
    </row>
    <row r="452" spans="1:9" ht="11.4" customHeight="1">
      <c r="A452" s="612"/>
      <c r="B452" s="585"/>
      <c r="C452" s="54"/>
      <c r="D452" s="54"/>
      <c r="E452" s="54"/>
      <c r="F452" s="54"/>
      <c r="G452" s="560"/>
      <c r="H452" s="562"/>
      <c r="I452" s="564"/>
    </row>
    <row r="453" spans="1:9" ht="11.4" customHeight="1">
      <c r="A453" s="612"/>
      <c r="B453" s="584" t="str">
        <f>B302</f>
        <v xml:space="preserve"> ستونهای طبقه اول  مرحله دوم ZONE Z1</v>
      </c>
      <c r="C453" s="53"/>
      <c r="D453" s="53"/>
      <c r="E453" s="53"/>
      <c r="F453" s="53"/>
      <c r="G453" s="559">
        <f>135*1.3</f>
        <v>175.5</v>
      </c>
      <c r="H453" s="561"/>
      <c r="I453" s="563" t="str">
        <f>I302</f>
        <v>علی الحساب</v>
      </c>
    </row>
    <row r="454" spans="1:9" ht="11.4" customHeight="1">
      <c r="A454" s="612"/>
      <c r="B454" s="585"/>
      <c r="C454" s="53"/>
      <c r="D454" s="53"/>
      <c r="E454" s="54"/>
      <c r="F454" s="53"/>
      <c r="G454" s="560"/>
      <c r="H454" s="562"/>
      <c r="I454" s="564"/>
    </row>
    <row r="455" spans="1:9" ht="11.4" customHeight="1">
      <c r="A455" s="612"/>
      <c r="B455" s="584" t="str">
        <f>B304</f>
        <v xml:space="preserve"> ستونهای طبقه اول  مرحله دوم ZONE Z2</v>
      </c>
      <c r="C455" s="53"/>
      <c r="D455" s="53"/>
      <c r="E455" s="53"/>
      <c r="F455" s="53"/>
      <c r="G455" s="559">
        <f>717.48*1.3</f>
        <v>932.72400000000005</v>
      </c>
      <c r="H455" s="561"/>
      <c r="I455" s="563" t="str">
        <f>I304</f>
        <v>علی الحساب</v>
      </c>
    </row>
    <row r="456" spans="1:9" ht="11.4" customHeight="1">
      <c r="A456" s="612"/>
      <c r="B456" s="585"/>
      <c r="C456" s="53"/>
      <c r="D456" s="53"/>
      <c r="E456" s="54"/>
      <c r="F456" s="53"/>
      <c r="G456" s="560"/>
      <c r="H456" s="562"/>
      <c r="I456" s="564"/>
    </row>
    <row r="457" spans="1:9" ht="11.4" customHeight="1">
      <c r="A457" s="612"/>
      <c r="B457" s="584" t="str">
        <f>B306</f>
        <v xml:space="preserve"> ستونهای طبقه اول  مرحله دوم ZONE Z3</v>
      </c>
      <c r="C457" s="53"/>
      <c r="D457" s="53"/>
      <c r="E457" s="53"/>
      <c r="F457" s="53"/>
      <c r="G457" s="559">
        <f>556.39*1.3</f>
        <v>723.30700000000002</v>
      </c>
      <c r="H457" s="561"/>
      <c r="I457" s="563" t="str">
        <f>I306</f>
        <v>علی الحساب</v>
      </c>
    </row>
    <row r="458" spans="1:9" ht="11.4" customHeight="1">
      <c r="A458" s="612"/>
      <c r="B458" s="585"/>
      <c r="C458" s="53"/>
      <c r="D458" s="53"/>
      <c r="E458" s="54"/>
      <c r="F458" s="53"/>
      <c r="G458" s="560"/>
      <c r="H458" s="562"/>
      <c r="I458" s="564"/>
    </row>
    <row r="459" spans="1:9" ht="11.4" customHeight="1">
      <c r="A459" s="612"/>
      <c r="B459" s="584" t="str">
        <f>B308</f>
        <v xml:space="preserve"> ستونهای طبقه اول  مرحله دوم ZONE Z4</v>
      </c>
      <c r="C459" s="53"/>
      <c r="D459" s="53"/>
      <c r="E459" s="53"/>
      <c r="F459" s="53"/>
      <c r="G459" s="559">
        <f>963.55*1.3</f>
        <v>1252.615</v>
      </c>
      <c r="H459" s="561"/>
      <c r="I459" s="563" t="str">
        <f>I308</f>
        <v>علی الحساب</v>
      </c>
    </row>
    <row r="460" spans="1:9" ht="11.4" customHeight="1">
      <c r="A460" s="612"/>
      <c r="B460" s="585"/>
      <c r="C460" s="53"/>
      <c r="D460" s="53"/>
      <c r="E460" s="54"/>
      <c r="F460" s="53"/>
      <c r="G460" s="560"/>
      <c r="H460" s="562"/>
      <c r="I460" s="564"/>
    </row>
    <row r="461" spans="1:9" ht="11.4" customHeight="1">
      <c r="A461" s="612"/>
      <c r="B461" s="584" t="str">
        <f>B310</f>
        <v xml:space="preserve"> ستونهای طبقه اول  مرحله دوم ZONE Z5</v>
      </c>
      <c r="C461" s="53"/>
      <c r="D461" s="53"/>
      <c r="E461" s="53"/>
      <c r="F461" s="53"/>
      <c r="G461" s="559">
        <f>176.74*1.3</f>
        <v>229.76200000000003</v>
      </c>
      <c r="H461" s="561"/>
      <c r="I461" s="563" t="str">
        <f>I310</f>
        <v>علی الحساب</v>
      </c>
    </row>
    <row r="462" spans="1:9" ht="11.4" customHeight="1">
      <c r="A462" s="612"/>
      <c r="B462" s="585"/>
      <c r="C462" s="53"/>
      <c r="D462" s="53"/>
      <c r="E462" s="54"/>
      <c r="F462" s="53"/>
      <c r="G462" s="560"/>
      <c r="H462" s="562"/>
      <c r="I462" s="564"/>
    </row>
    <row r="463" spans="1:9" ht="11.4" customHeight="1">
      <c r="A463" s="612"/>
      <c r="B463" s="584" t="str">
        <f>B312</f>
        <v xml:space="preserve"> ستونهای طبقه اول  مرحله دوم ZONE Y1</v>
      </c>
      <c r="C463" s="53"/>
      <c r="D463" s="53"/>
      <c r="E463" s="53"/>
      <c r="F463" s="53"/>
      <c r="G463" s="559">
        <f>224.52*1.3</f>
        <v>291.87600000000003</v>
      </c>
      <c r="H463" s="561"/>
      <c r="I463" s="563" t="str">
        <f>I312</f>
        <v>علی الحساب</v>
      </c>
    </row>
    <row r="464" spans="1:9" ht="11.4" customHeight="1">
      <c r="A464" s="612"/>
      <c r="B464" s="585"/>
      <c r="C464" s="53"/>
      <c r="D464" s="53"/>
      <c r="E464" s="54"/>
      <c r="F464" s="53"/>
      <c r="G464" s="560"/>
      <c r="H464" s="562"/>
      <c r="I464" s="564"/>
    </row>
    <row r="465" spans="1:9" ht="11.4" customHeight="1">
      <c r="A465" s="612"/>
      <c r="B465" s="584" t="str">
        <f>B314</f>
        <v xml:space="preserve"> ستونهای طبقه اول  مرحله دوم ZONE Y2</v>
      </c>
      <c r="C465" s="53"/>
      <c r="D465" s="53"/>
      <c r="E465" s="53"/>
      <c r="F465" s="53"/>
      <c r="G465" s="559">
        <f>367.52*1.3</f>
        <v>477.77600000000001</v>
      </c>
      <c r="H465" s="561"/>
      <c r="I465" s="563" t="str">
        <f>I314</f>
        <v>علی الحساب</v>
      </c>
    </row>
    <row r="466" spans="1:9" ht="11.4" customHeight="1">
      <c r="A466" s="612"/>
      <c r="B466" s="585"/>
      <c r="C466" s="53"/>
      <c r="D466" s="53"/>
      <c r="E466" s="54"/>
      <c r="F466" s="53"/>
      <c r="G466" s="560"/>
      <c r="H466" s="562"/>
      <c r="I466" s="564"/>
    </row>
    <row r="467" spans="1:9" ht="11.4" customHeight="1">
      <c r="A467" s="612"/>
      <c r="B467" s="584" t="str">
        <f>B316</f>
        <v xml:space="preserve"> ستونهای طبقه اول  مرحله دوم ZONE Y3</v>
      </c>
      <c r="C467" s="53"/>
      <c r="D467" s="53"/>
      <c r="E467" s="53"/>
      <c r="F467" s="53"/>
      <c r="G467" s="559">
        <v>537.86</v>
      </c>
      <c r="H467" s="561"/>
      <c r="I467" s="563" t="str">
        <f>I316</f>
        <v>علی الحساب</v>
      </c>
    </row>
    <row r="468" spans="1:9" ht="11.4" customHeight="1">
      <c r="A468" s="612"/>
      <c r="B468" s="585"/>
      <c r="C468" s="53"/>
      <c r="D468" s="53"/>
      <c r="E468" s="54"/>
      <c r="F468" s="53"/>
      <c r="G468" s="560"/>
      <c r="H468" s="562"/>
      <c r="I468" s="564"/>
    </row>
    <row r="469" spans="1:9" ht="11.4" customHeight="1">
      <c r="A469" s="612"/>
      <c r="B469" s="584" t="str">
        <f>B371</f>
        <v>عملیات انجام گرفته در سقف دوم ZONE Z1</v>
      </c>
      <c r="C469" s="53"/>
      <c r="D469" s="53"/>
      <c r="E469" s="53"/>
      <c r="F469" s="53"/>
      <c r="G469" s="559">
        <v>239.56</v>
      </c>
      <c r="H469" s="561"/>
      <c r="I469" s="589" t="str">
        <f>I371</f>
        <v>علی الحساب</v>
      </c>
    </row>
    <row r="470" spans="1:9" ht="11.4" customHeight="1">
      <c r="A470" s="612"/>
      <c r="B470" s="585"/>
      <c r="C470" s="53"/>
      <c r="D470" s="53"/>
      <c r="E470" s="54"/>
      <c r="F470" s="53"/>
      <c r="G470" s="560"/>
      <c r="H470" s="562"/>
      <c r="I470" s="590"/>
    </row>
    <row r="471" spans="1:9" ht="11.4" customHeight="1">
      <c r="A471" s="612"/>
      <c r="B471" s="584" t="str">
        <f t="shared" ref="B471" si="28">B373</f>
        <v>عملیات انجام گرفته در سقف دوم ZONE Z2</v>
      </c>
      <c r="C471" s="53"/>
      <c r="D471" s="53"/>
      <c r="E471" s="53"/>
      <c r="F471" s="53"/>
      <c r="G471" s="559">
        <v>1273.18</v>
      </c>
      <c r="H471" s="561"/>
      <c r="I471" s="589" t="str">
        <f t="shared" ref="I471" si="29">I373</f>
        <v>علی الحساب</v>
      </c>
    </row>
    <row r="472" spans="1:9" ht="11.4" customHeight="1">
      <c r="A472" s="612"/>
      <c r="B472" s="585"/>
      <c r="C472" s="53"/>
      <c r="D472" s="53"/>
      <c r="E472" s="54"/>
      <c r="F472" s="53"/>
      <c r="G472" s="560"/>
      <c r="H472" s="562"/>
      <c r="I472" s="590"/>
    </row>
    <row r="473" spans="1:9" ht="11.4" customHeight="1">
      <c r="A473" s="612"/>
      <c r="B473" s="584" t="str">
        <f t="shared" ref="B473" si="30">B375</f>
        <v>عملیات انجام گرفته در سقف دوم ZONE Z3</v>
      </c>
      <c r="C473" s="53"/>
      <c r="D473" s="53"/>
      <c r="E473" s="53"/>
      <c r="F473" s="53"/>
      <c r="G473" s="559">
        <v>987.33</v>
      </c>
      <c r="H473" s="561"/>
      <c r="I473" s="589" t="str">
        <f t="shared" ref="I473" si="31">I375</f>
        <v>علی الحساب</v>
      </c>
    </row>
    <row r="474" spans="1:9" ht="11.4" customHeight="1">
      <c r="A474" s="612"/>
      <c r="B474" s="585"/>
      <c r="C474" s="53"/>
      <c r="D474" s="53"/>
      <c r="E474" s="54"/>
      <c r="F474" s="53"/>
      <c r="G474" s="560"/>
      <c r="H474" s="562"/>
      <c r="I474" s="590"/>
    </row>
    <row r="475" spans="1:9" ht="11.4" customHeight="1">
      <c r="A475" s="612"/>
      <c r="B475" s="584" t="str">
        <f t="shared" ref="B475" si="32">B377</f>
        <v>عملیات انجام گرفته در سقف دوم ZONE Z4</v>
      </c>
      <c r="C475" s="53"/>
      <c r="D475" s="53"/>
      <c r="E475" s="53"/>
      <c r="F475" s="53"/>
      <c r="G475" s="559">
        <v>1709.84</v>
      </c>
      <c r="H475" s="561"/>
      <c r="I475" s="589" t="str">
        <f t="shared" ref="I475" si="33">I377</f>
        <v>علی الحساب</v>
      </c>
    </row>
    <row r="476" spans="1:9" ht="11.4" customHeight="1">
      <c r="A476" s="612"/>
      <c r="B476" s="585"/>
      <c r="C476" s="53"/>
      <c r="D476" s="53"/>
      <c r="E476" s="54"/>
      <c r="F476" s="53"/>
      <c r="G476" s="560"/>
      <c r="H476" s="562"/>
      <c r="I476" s="590"/>
    </row>
    <row r="477" spans="1:9" ht="11.4" customHeight="1">
      <c r="A477" s="612"/>
      <c r="B477" s="584" t="str">
        <f t="shared" ref="B477" si="34">B379</f>
        <v>عملیات انجام گرفته در سقف دوم ZONE Z5</v>
      </c>
      <c r="C477" s="53"/>
      <c r="D477" s="53"/>
      <c r="E477" s="53"/>
      <c r="F477" s="53"/>
      <c r="G477" s="559">
        <v>313.63</v>
      </c>
      <c r="H477" s="561"/>
      <c r="I477" s="589" t="str">
        <f t="shared" ref="I477" si="35">I379</f>
        <v>علی الحساب</v>
      </c>
    </row>
    <row r="478" spans="1:9" ht="11.4" customHeight="1">
      <c r="A478" s="612"/>
      <c r="B478" s="585"/>
      <c r="C478" s="53"/>
      <c r="D478" s="53"/>
      <c r="E478" s="54"/>
      <c r="F478" s="53"/>
      <c r="G478" s="560"/>
      <c r="H478" s="562"/>
      <c r="I478" s="590"/>
    </row>
    <row r="479" spans="1:9" ht="11.4" customHeight="1">
      <c r="A479" s="612"/>
      <c r="B479" s="584" t="str">
        <f t="shared" ref="B479" si="36">B381</f>
        <v>عملیات انجام گرفته در سقف دوم ZONE Y1</v>
      </c>
      <c r="C479" s="53"/>
      <c r="D479" s="53"/>
      <c r="E479" s="53"/>
      <c r="F479" s="53"/>
      <c r="G479" s="559">
        <v>398.42</v>
      </c>
      <c r="H479" s="561"/>
      <c r="I479" s="589" t="str">
        <f t="shared" ref="I479" si="37">I381</f>
        <v>علی الحساب</v>
      </c>
    </row>
    <row r="480" spans="1:9" ht="11.4" customHeight="1">
      <c r="A480" s="612"/>
      <c r="B480" s="585"/>
      <c r="C480" s="53"/>
      <c r="D480" s="53"/>
      <c r="E480" s="54"/>
      <c r="F480" s="53"/>
      <c r="G480" s="560"/>
      <c r="H480" s="562"/>
      <c r="I480" s="590"/>
    </row>
    <row r="481" spans="1:9" ht="11.4" customHeight="1">
      <c r="A481" s="612"/>
      <c r="B481" s="584" t="str">
        <f t="shared" ref="B481" si="38">B383</f>
        <v>عملیات انجام گرفته در سقف دوم ZONE Y2</v>
      </c>
      <c r="C481" s="53"/>
      <c r="D481" s="53"/>
      <c r="E481" s="53"/>
      <c r="F481" s="53"/>
      <c r="G481" s="559">
        <v>652.16</v>
      </c>
      <c r="H481" s="561"/>
      <c r="I481" s="589" t="str">
        <f t="shared" ref="I481" si="39">I383</f>
        <v>علی الحساب</v>
      </c>
    </row>
    <row r="482" spans="1:9" ht="11.4" customHeight="1">
      <c r="A482" s="612"/>
      <c r="B482" s="585"/>
      <c r="C482" s="53"/>
      <c r="D482" s="53"/>
      <c r="E482" s="54"/>
      <c r="F482" s="53"/>
      <c r="G482" s="560"/>
      <c r="H482" s="562"/>
      <c r="I482" s="590"/>
    </row>
    <row r="483" spans="1:9" ht="11.4" customHeight="1">
      <c r="A483" s="612"/>
      <c r="B483" s="584" t="str">
        <f t="shared" ref="B483" si="40">B385</f>
        <v>عملیات انجام گرفته در سقف دوم ZONE Y3</v>
      </c>
      <c r="C483" s="53"/>
      <c r="D483" s="53"/>
      <c r="E483" s="53"/>
      <c r="F483" s="53"/>
      <c r="G483" s="559">
        <v>954.45</v>
      </c>
      <c r="H483" s="561"/>
      <c r="I483" s="589" t="str">
        <f t="shared" ref="I483" si="41">I385</f>
        <v>علی الحساب</v>
      </c>
    </row>
    <row r="484" spans="1:9" ht="11.4" customHeight="1">
      <c r="A484" s="612"/>
      <c r="B484" s="585"/>
      <c r="C484" s="53"/>
      <c r="D484" s="53"/>
      <c r="E484" s="54"/>
      <c r="F484" s="53"/>
      <c r="G484" s="560"/>
      <c r="H484" s="562"/>
      <c r="I484" s="590"/>
    </row>
    <row r="485" spans="1:9" ht="12" customHeight="1">
      <c r="A485" s="613"/>
      <c r="B485" s="565" t="s">
        <v>33</v>
      </c>
      <c r="C485" s="566"/>
      <c r="D485" s="566"/>
      <c r="E485" s="567"/>
      <c r="F485" s="299" t="str">
        <f>A388</f>
        <v>070201</v>
      </c>
      <c r="G485" s="300">
        <f>SUM(G389:G484)</f>
        <v>27682.645000000008</v>
      </c>
      <c r="H485" s="301">
        <f>SUM(H389:H452)</f>
        <v>0</v>
      </c>
      <c r="I485" s="302" t="str">
        <f>IF(F485="","",VLOOKUP(F485,'ابنیه 95'!$A:$E,3,FALSE))</f>
        <v>کيلوگرم</v>
      </c>
    </row>
    <row r="486" spans="1:9" ht="12" customHeight="1">
      <c r="A486" s="551" t="s">
        <v>167</v>
      </c>
      <c r="B486" s="571" t="str">
        <f>IF(A486="","",VLOOKUP(A486,'ابنیه 95'!$A:$E,2,FALSE))</f>
        <v>تهيه، بريدن، خم كردن و كار گذاشتن ميل گردآجدار از نوع AIII به قطر تا10 ميلي‌متر، براي بتن مسلح با سيم پيچي لازم .</v>
      </c>
      <c r="C486" s="572"/>
      <c r="D486" s="572"/>
      <c r="E486" s="572"/>
      <c r="F486" s="572"/>
      <c r="G486" s="572"/>
      <c r="H486" s="572"/>
      <c r="I486" s="573"/>
    </row>
    <row r="487" spans="1:9" ht="9" customHeight="1">
      <c r="A487" s="612"/>
      <c r="B487" s="584" t="str">
        <f>B389</f>
        <v xml:space="preserve">فونداسیون  ZONE Z1 </v>
      </c>
      <c r="C487" s="53"/>
      <c r="D487" s="53"/>
      <c r="E487" s="53"/>
      <c r="F487" s="53"/>
      <c r="G487" s="559">
        <v>58.55</v>
      </c>
      <c r="H487" s="561"/>
      <c r="I487" s="563" t="str">
        <f>I389</f>
        <v>صورتجلسه شماره: 3</v>
      </c>
    </row>
    <row r="488" spans="1:9" ht="9" customHeight="1">
      <c r="A488" s="612"/>
      <c r="B488" s="585"/>
      <c r="C488" s="53"/>
      <c r="D488" s="53"/>
      <c r="E488" s="54"/>
      <c r="F488" s="53"/>
      <c r="G488" s="560"/>
      <c r="H488" s="562"/>
      <c r="I488" s="564"/>
    </row>
    <row r="489" spans="1:9" ht="9" customHeight="1">
      <c r="A489" s="612"/>
      <c r="B489" s="584" t="str">
        <f>B391</f>
        <v>فونداسیون  ZONE Z2</v>
      </c>
      <c r="C489" s="53"/>
      <c r="D489" s="53"/>
      <c r="E489" s="53"/>
      <c r="F489" s="53"/>
      <c r="G489" s="559">
        <v>274.01</v>
      </c>
      <c r="H489" s="561"/>
      <c r="I489" s="563" t="str">
        <f>I391</f>
        <v>صورتجلسه شماره: 4</v>
      </c>
    </row>
    <row r="490" spans="1:9" ht="9" customHeight="1">
      <c r="A490" s="612"/>
      <c r="B490" s="585"/>
      <c r="C490" s="53"/>
      <c r="D490" s="53"/>
      <c r="E490" s="54"/>
      <c r="F490" s="53"/>
      <c r="G490" s="560"/>
      <c r="H490" s="562"/>
      <c r="I490" s="564"/>
    </row>
    <row r="491" spans="1:9" ht="9" customHeight="1">
      <c r="A491" s="612"/>
      <c r="B491" s="584" t="str">
        <f>B393</f>
        <v>فونداسیون  ZONE Z3</v>
      </c>
      <c r="C491" s="53"/>
      <c r="D491" s="53"/>
      <c r="E491" s="53"/>
      <c r="F491" s="53"/>
      <c r="G491" s="559">
        <v>288</v>
      </c>
      <c r="H491" s="561"/>
      <c r="I491" s="563" t="str">
        <f>I393</f>
        <v>صورتجلسه شماره: 5</v>
      </c>
    </row>
    <row r="492" spans="1:9" ht="9" customHeight="1">
      <c r="A492" s="612"/>
      <c r="B492" s="585"/>
      <c r="C492" s="394"/>
      <c r="D492" s="394"/>
      <c r="E492" s="395"/>
      <c r="F492" s="394"/>
      <c r="G492" s="560"/>
      <c r="H492" s="562"/>
      <c r="I492" s="564"/>
    </row>
    <row r="493" spans="1:9" ht="9" customHeight="1">
      <c r="A493" s="612"/>
      <c r="B493" s="584" t="str">
        <f>B395</f>
        <v>فونداسیون  ZONE Z4</v>
      </c>
      <c r="C493" s="53"/>
      <c r="D493" s="53"/>
      <c r="E493" s="53"/>
      <c r="F493" s="53"/>
      <c r="G493" s="559">
        <v>336.23</v>
      </c>
      <c r="H493" s="561"/>
      <c r="I493" s="563" t="str">
        <f>I395</f>
        <v>صورتجلسه شماره: 6</v>
      </c>
    </row>
    <row r="494" spans="1:9" ht="9" customHeight="1">
      <c r="A494" s="612"/>
      <c r="B494" s="585"/>
      <c r="C494" s="394"/>
      <c r="D494" s="394"/>
      <c r="E494" s="395"/>
      <c r="F494" s="394"/>
      <c r="G494" s="560"/>
      <c r="H494" s="562"/>
      <c r="I494" s="564"/>
    </row>
    <row r="495" spans="1:9" ht="9" customHeight="1">
      <c r="A495" s="612"/>
      <c r="B495" s="584" t="str">
        <f>B397</f>
        <v>فونداسیون  ZONE Z5</v>
      </c>
      <c r="C495" s="53"/>
      <c r="D495" s="53"/>
      <c r="E495" s="53"/>
      <c r="F495" s="53"/>
      <c r="G495" s="559">
        <v>85.61</v>
      </c>
      <c r="H495" s="561"/>
      <c r="I495" s="563" t="str">
        <f>I397</f>
        <v>صورتجلسه شماره: 7</v>
      </c>
    </row>
    <row r="496" spans="1:9" ht="9" customHeight="1">
      <c r="A496" s="612"/>
      <c r="B496" s="585"/>
      <c r="C496" s="53"/>
      <c r="D496" s="53"/>
      <c r="E496" s="54"/>
      <c r="F496" s="53"/>
      <c r="G496" s="560"/>
      <c r="H496" s="562"/>
      <c r="I496" s="564"/>
    </row>
    <row r="497" spans="1:9" ht="9" customHeight="1">
      <c r="A497" s="612"/>
      <c r="B497" s="584" t="s">
        <v>1775</v>
      </c>
      <c r="C497" s="53"/>
      <c r="D497" s="53"/>
      <c r="E497" s="53"/>
      <c r="F497" s="53"/>
      <c r="G497" s="559">
        <v>101.14</v>
      </c>
      <c r="H497" s="561"/>
      <c r="I497" s="563" t="str">
        <f>I399</f>
        <v>صورتجلسه شماره: 8</v>
      </c>
    </row>
    <row r="498" spans="1:9" ht="9" customHeight="1">
      <c r="A498" s="612"/>
      <c r="B498" s="585"/>
      <c r="C498" s="394"/>
      <c r="D498" s="394"/>
      <c r="E498" s="395"/>
      <c r="F498" s="394"/>
      <c r="G498" s="560"/>
      <c r="H498" s="562"/>
      <c r="I498" s="564"/>
    </row>
    <row r="499" spans="1:9" ht="9" customHeight="1">
      <c r="A499" s="612"/>
      <c r="B499" s="584" t="s">
        <v>1776</v>
      </c>
      <c r="C499" s="53"/>
      <c r="D499" s="53"/>
      <c r="E499" s="53"/>
      <c r="F499" s="53"/>
      <c r="G499" s="559">
        <v>153.16999999999999</v>
      </c>
      <c r="H499" s="561"/>
      <c r="I499" s="563" t="str">
        <f>I401</f>
        <v>صورتجلسه شماره: 9</v>
      </c>
    </row>
    <row r="500" spans="1:9" ht="9" customHeight="1">
      <c r="A500" s="612"/>
      <c r="B500" s="585"/>
      <c r="C500" s="394"/>
      <c r="D500" s="394"/>
      <c r="E500" s="395"/>
      <c r="F500" s="394"/>
      <c r="G500" s="560"/>
      <c r="H500" s="562"/>
      <c r="I500" s="564"/>
    </row>
    <row r="501" spans="1:9" ht="9" customHeight="1">
      <c r="A501" s="612"/>
      <c r="B501" s="584" t="s">
        <v>1777</v>
      </c>
      <c r="C501" s="53"/>
      <c r="D501" s="53"/>
      <c r="E501" s="53"/>
      <c r="F501" s="53"/>
      <c r="G501" s="559">
        <v>246.86</v>
      </c>
      <c r="H501" s="561"/>
      <c r="I501" s="563" t="str">
        <f>I403</f>
        <v>صورتجلسه شماره: 10</v>
      </c>
    </row>
    <row r="502" spans="1:9" ht="9" customHeight="1">
      <c r="A502" s="612"/>
      <c r="B502" s="585"/>
      <c r="C502" s="394"/>
      <c r="D502" s="394"/>
      <c r="E502" s="395"/>
      <c r="F502" s="394"/>
      <c r="G502" s="560"/>
      <c r="H502" s="562"/>
      <c r="I502" s="564"/>
    </row>
    <row r="503" spans="1:9" ht="9" customHeight="1">
      <c r="A503" s="612"/>
      <c r="B503" s="584" t="str">
        <f>B405</f>
        <v xml:space="preserve"> ستونهای طبقه زیرزمین   ZONE Z ,Y</v>
      </c>
      <c r="C503" s="53"/>
      <c r="D503" s="53"/>
      <c r="E503" s="53"/>
      <c r="F503" s="53"/>
      <c r="G503" s="559">
        <v>153.13999999999999</v>
      </c>
      <c r="H503" s="561"/>
      <c r="I503" s="563" t="str">
        <f>I405</f>
        <v>صورتجلسه شماره: 11</v>
      </c>
    </row>
    <row r="504" spans="1:9" ht="9" customHeight="1">
      <c r="A504" s="612"/>
      <c r="B504" s="585"/>
      <c r="C504" s="53"/>
      <c r="D504" s="53"/>
      <c r="E504" s="54"/>
      <c r="F504" s="53"/>
      <c r="G504" s="560"/>
      <c r="H504" s="562"/>
      <c r="I504" s="564"/>
    </row>
    <row r="505" spans="1:9" ht="9" customHeight="1">
      <c r="A505" s="612"/>
      <c r="B505" s="584" t="str">
        <f>B407</f>
        <v xml:space="preserve">سقف زیرزمین درZONE Z1 </v>
      </c>
      <c r="C505" s="53"/>
      <c r="D505" s="53"/>
      <c r="E505" s="53"/>
      <c r="F505" s="53"/>
      <c r="G505" s="559">
        <f>1.3*212.92</f>
        <v>276.79599999999999</v>
      </c>
      <c r="H505" s="561"/>
      <c r="I505" s="563" t="str">
        <f>I407</f>
        <v>علی الحساب</v>
      </c>
    </row>
    <row r="506" spans="1:9" ht="9" customHeight="1">
      <c r="A506" s="612"/>
      <c r="B506" s="585"/>
      <c r="C506" s="53"/>
      <c r="D506" s="53"/>
      <c r="E506" s="54"/>
      <c r="F506" s="53"/>
      <c r="G506" s="560"/>
      <c r="H506" s="562"/>
      <c r="I506" s="564"/>
    </row>
    <row r="507" spans="1:9" ht="9" customHeight="1">
      <c r="A507" s="612"/>
      <c r="B507" s="584" t="str">
        <f>B409</f>
        <v>سقف زیرزمین درZONE Z2</v>
      </c>
      <c r="C507" s="53"/>
      <c r="D507" s="53"/>
      <c r="E507" s="53"/>
      <c r="F507" s="53"/>
      <c r="G507" s="559">
        <f>1.3*1131.59</f>
        <v>1471.067</v>
      </c>
      <c r="H507" s="561"/>
      <c r="I507" s="563" t="str">
        <f>I409</f>
        <v>علی الحساب</v>
      </c>
    </row>
    <row r="508" spans="1:9" ht="9" customHeight="1">
      <c r="A508" s="612"/>
      <c r="B508" s="585"/>
      <c r="C508" s="53"/>
      <c r="D508" s="53"/>
      <c r="E508" s="54"/>
      <c r="F508" s="53"/>
      <c r="G508" s="560"/>
      <c r="H508" s="562"/>
      <c r="I508" s="564"/>
    </row>
    <row r="509" spans="1:9" ht="9" customHeight="1">
      <c r="A509" s="612"/>
      <c r="B509" s="584" t="str">
        <f>B411</f>
        <v>سقف زیرزمین درZONE Z3</v>
      </c>
      <c r="C509" s="53"/>
      <c r="D509" s="53"/>
      <c r="E509" s="54"/>
      <c r="F509" s="53"/>
      <c r="G509" s="559">
        <f>1.3*877.54</f>
        <v>1140.8019999999999</v>
      </c>
      <c r="H509" s="561"/>
      <c r="I509" s="563" t="str">
        <f>I411</f>
        <v>علی الحساب</v>
      </c>
    </row>
    <row r="510" spans="1:9" ht="9" customHeight="1">
      <c r="A510" s="612"/>
      <c r="B510" s="585"/>
      <c r="C510" s="54"/>
      <c r="D510" s="54"/>
      <c r="E510" s="54"/>
      <c r="F510" s="54"/>
      <c r="G510" s="560"/>
      <c r="H510" s="562"/>
      <c r="I510" s="564"/>
    </row>
    <row r="511" spans="1:9" ht="9" customHeight="1">
      <c r="A511" s="612"/>
      <c r="B511" s="584" t="str">
        <f>B413</f>
        <v>سقف زیرزمین درZONE Z4</v>
      </c>
      <c r="C511" s="53"/>
      <c r="D511" s="53"/>
      <c r="E511" s="54"/>
      <c r="F511" s="53"/>
      <c r="G511" s="559">
        <f>1.3*1519.7</f>
        <v>1975.6100000000001</v>
      </c>
      <c r="H511" s="561"/>
      <c r="I511" s="563" t="str">
        <f>I413</f>
        <v>علی الحساب</v>
      </c>
    </row>
    <row r="512" spans="1:9" ht="9" customHeight="1">
      <c r="A512" s="612"/>
      <c r="B512" s="585"/>
      <c r="C512" s="54"/>
      <c r="D512" s="54"/>
      <c r="E512" s="54"/>
      <c r="F512" s="54"/>
      <c r="G512" s="560"/>
      <c r="H512" s="562"/>
      <c r="I512" s="564"/>
    </row>
    <row r="513" spans="1:9" ht="9" customHeight="1">
      <c r="A513" s="612"/>
      <c r="B513" s="584" t="str">
        <f>B415</f>
        <v>سقف زیرزمین درZONE Z5</v>
      </c>
      <c r="C513" s="53"/>
      <c r="D513" s="53"/>
      <c r="E513" s="54"/>
      <c r="F513" s="53"/>
      <c r="G513" s="559">
        <f>1.3*278.75</f>
        <v>362.375</v>
      </c>
      <c r="H513" s="561"/>
      <c r="I513" s="563" t="str">
        <f>I415</f>
        <v>علی الحساب</v>
      </c>
    </row>
    <row r="514" spans="1:9" ht="9" customHeight="1">
      <c r="A514" s="612"/>
      <c r="B514" s="585"/>
      <c r="C514" s="54"/>
      <c r="D514" s="54"/>
      <c r="E514" s="54"/>
      <c r="F514" s="54"/>
      <c r="G514" s="560"/>
      <c r="H514" s="562"/>
      <c r="I514" s="564"/>
    </row>
    <row r="515" spans="1:9" ht="9" customHeight="1">
      <c r="A515" s="612"/>
      <c r="B515" s="584" t="str">
        <f>B417</f>
        <v>سقف زیرزمین درZONE Y1</v>
      </c>
      <c r="C515" s="53"/>
      <c r="D515" s="53"/>
      <c r="E515" s="54"/>
      <c r="F515" s="53"/>
      <c r="G515" s="559">
        <v>102.12</v>
      </c>
      <c r="H515" s="561"/>
      <c r="I515" s="563" t="str">
        <f>I417</f>
        <v>صورتجلسه شماره:12</v>
      </c>
    </row>
    <row r="516" spans="1:9" ht="9" customHeight="1">
      <c r="A516" s="612"/>
      <c r="B516" s="585"/>
      <c r="C516" s="54"/>
      <c r="D516" s="54"/>
      <c r="E516" s="54"/>
      <c r="F516" s="54"/>
      <c r="G516" s="560"/>
      <c r="H516" s="562"/>
      <c r="I516" s="564"/>
    </row>
    <row r="517" spans="1:9" ht="9" customHeight="1">
      <c r="A517" s="612"/>
      <c r="B517" s="584" t="str">
        <f>B419</f>
        <v>سقف زیرزمین درZONE Y2</v>
      </c>
      <c r="C517" s="53"/>
      <c r="D517" s="53"/>
      <c r="E517" s="54"/>
      <c r="F517" s="53"/>
      <c r="G517" s="559">
        <v>265.51</v>
      </c>
      <c r="H517" s="561"/>
      <c r="I517" s="563" t="str">
        <f>I419</f>
        <v>صورتجلسه شماره:13</v>
      </c>
    </row>
    <row r="518" spans="1:9" ht="9" customHeight="1">
      <c r="A518" s="612"/>
      <c r="B518" s="585"/>
      <c r="C518" s="54"/>
      <c r="D518" s="54"/>
      <c r="E518" s="54"/>
      <c r="F518" s="54"/>
      <c r="G518" s="560"/>
      <c r="H518" s="562"/>
      <c r="I518" s="564"/>
    </row>
    <row r="519" spans="1:9" ht="9" customHeight="1">
      <c r="A519" s="612"/>
      <c r="B519" s="584" t="str">
        <f>B421</f>
        <v>سقف زیرزمین درZONE Y3</v>
      </c>
      <c r="C519" s="53"/>
      <c r="D519" s="53"/>
      <c r="E519" s="54"/>
      <c r="F519" s="53"/>
      <c r="G519" s="559">
        <v>1102.82</v>
      </c>
      <c r="H519" s="561"/>
      <c r="I519" s="563" t="str">
        <f>I421</f>
        <v>علی الحساب</v>
      </c>
    </row>
    <row r="520" spans="1:9" ht="9" customHeight="1">
      <c r="A520" s="612"/>
      <c r="B520" s="585"/>
      <c r="C520" s="54"/>
      <c r="D520" s="54"/>
      <c r="E520" s="54"/>
      <c r="F520" s="54"/>
      <c r="G520" s="560"/>
      <c r="H520" s="562"/>
      <c r="I520" s="564"/>
    </row>
    <row r="521" spans="1:9" ht="9" customHeight="1">
      <c r="A521" s="612"/>
      <c r="B521" s="584" t="str">
        <f>B439</f>
        <v>عملیات انجام گرفته درتیرهای ZONE Z1</v>
      </c>
      <c r="C521" s="53"/>
      <c r="D521" s="53"/>
      <c r="E521" s="54"/>
      <c r="F521" s="53"/>
      <c r="G521" s="559">
        <f>1.3*52</f>
        <v>67.600000000000009</v>
      </c>
      <c r="H521" s="561"/>
      <c r="I521" s="589" t="str">
        <f>I439</f>
        <v>علی الحساب</v>
      </c>
    </row>
    <row r="522" spans="1:9" ht="9" customHeight="1">
      <c r="A522" s="612"/>
      <c r="B522" s="585"/>
      <c r="C522" s="54"/>
      <c r="D522" s="54"/>
      <c r="E522" s="54"/>
      <c r="F522" s="54"/>
      <c r="G522" s="560"/>
      <c r="H522" s="562"/>
      <c r="I522" s="590"/>
    </row>
    <row r="523" spans="1:9" ht="9" customHeight="1">
      <c r="A523" s="612"/>
      <c r="B523" s="584" t="str">
        <f>B441</f>
        <v>عملیات انجام گرفته درتیرهای ZONE Z2</v>
      </c>
      <c r="C523" s="53"/>
      <c r="D523" s="53"/>
      <c r="E523" s="54"/>
      <c r="F523" s="53"/>
      <c r="G523" s="559">
        <f>1.3*2763.61</f>
        <v>3592.6930000000002</v>
      </c>
      <c r="H523" s="561"/>
      <c r="I523" s="589" t="str">
        <f>I441</f>
        <v>علی الحساب</v>
      </c>
    </row>
    <row r="524" spans="1:9" ht="9" customHeight="1">
      <c r="A524" s="612"/>
      <c r="B524" s="585"/>
      <c r="C524" s="54"/>
      <c r="D524" s="54"/>
      <c r="E524" s="54"/>
      <c r="F524" s="54"/>
      <c r="G524" s="560"/>
      <c r="H524" s="562"/>
      <c r="I524" s="590"/>
    </row>
    <row r="525" spans="1:9" ht="9" customHeight="1">
      <c r="A525" s="612"/>
      <c r="B525" s="584" t="str">
        <f>B443</f>
        <v>عملیات انجام گرفته درتیرهای ZONE Z3</v>
      </c>
      <c r="C525" s="53"/>
      <c r="D525" s="53"/>
      <c r="E525" s="54"/>
      <c r="F525" s="53"/>
      <c r="G525" s="559">
        <f>1.3*2143.15</f>
        <v>2786.0950000000003</v>
      </c>
      <c r="H525" s="561"/>
      <c r="I525" s="589" t="str">
        <f>I443</f>
        <v>علی الحساب</v>
      </c>
    </row>
    <row r="526" spans="1:9" ht="9" customHeight="1">
      <c r="A526" s="612"/>
      <c r="B526" s="585"/>
      <c r="C526" s="54"/>
      <c r="D526" s="54"/>
      <c r="E526" s="54"/>
      <c r="F526" s="54"/>
      <c r="G526" s="560"/>
      <c r="H526" s="562"/>
      <c r="I526" s="590"/>
    </row>
    <row r="527" spans="1:9" ht="9" customHeight="1">
      <c r="A527" s="612"/>
      <c r="B527" s="584" t="str">
        <f>B445</f>
        <v>عملیات انجام گرفته درتیرهای ZONE Z4</v>
      </c>
      <c r="C527" s="53"/>
      <c r="D527" s="53"/>
      <c r="E527" s="54"/>
      <c r="F527" s="53"/>
      <c r="G527" s="559">
        <f>1.3*3711.45</f>
        <v>4824.8850000000002</v>
      </c>
      <c r="H527" s="561"/>
      <c r="I527" s="589" t="str">
        <f>I445</f>
        <v>علی الحساب</v>
      </c>
    </row>
    <row r="528" spans="1:9" ht="9" customHeight="1">
      <c r="A528" s="612"/>
      <c r="B528" s="585"/>
      <c r="C528" s="54"/>
      <c r="D528" s="54"/>
      <c r="E528" s="54"/>
      <c r="F528" s="54"/>
      <c r="G528" s="560"/>
      <c r="H528" s="562"/>
      <c r="I528" s="590"/>
    </row>
    <row r="529" spans="1:9" ht="9" customHeight="1">
      <c r="A529" s="612"/>
      <c r="B529" s="584" t="str">
        <f>B447</f>
        <v>عملیات انجام گرفته درتیرهای ZONE Z5</v>
      </c>
      <c r="C529" s="53"/>
      <c r="D529" s="53"/>
      <c r="E529" s="54"/>
      <c r="F529" s="53"/>
      <c r="G529" s="559">
        <f>1.3*680.78</f>
        <v>885.01400000000001</v>
      </c>
      <c r="H529" s="561"/>
      <c r="I529" s="589" t="str">
        <f>I447</f>
        <v>علی الحساب</v>
      </c>
    </row>
    <row r="530" spans="1:9" ht="9" customHeight="1">
      <c r="A530" s="612"/>
      <c r="B530" s="585"/>
      <c r="C530" s="54"/>
      <c r="D530" s="54"/>
      <c r="E530" s="54"/>
      <c r="F530" s="54"/>
      <c r="G530" s="560"/>
      <c r="H530" s="562"/>
      <c r="I530" s="590"/>
    </row>
    <row r="531" spans="1:9" ht="9" customHeight="1">
      <c r="A531" s="612"/>
      <c r="B531" s="584" t="str">
        <f>B449</f>
        <v>عملیات انجام گرفته درتیرهای ZONE Y1</v>
      </c>
      <c r="C531" s="53"/>
      <c r="D531" s="53"/>
      <c r="E531" s="54"/>
      <c r="F531" s="53"/>
      <c r="G531" s="559">
        <f>1.3*864.82</f>
        <v>1124.2660000000001</v>
      </c>
      <c r="H531" s="561"/>
      <c r="I531" s="589" t="str">
        <f>I449</f>
        <v>علی الحساب</v>
      </c>
    </row>
    <row r="532" spans="1:9" ht="9" customHeight="1">
      <c r="A532" s="612"/>
      <c r="B532" s="585"/>
      <c r="C532" s="54"/>
      <c r="D532" s="54"/>
      <c r="E532" s="54"/>
      <c r="F532" s="54"/>
      <c r="G532" s="560"/>
      <c r="H532" s="562"/>
      <c r="I532" s="590"/>
    </row>
    <row r="533" spans="1:9" ht="9" customHeight="1">
      <c r="A533" s="612"/>
      <c r="B533" s="584" t="str">
        <f>B451</f>
        <v>عملیات انجام گرفته درتیرهای ZONE Y2</v>
      </c>
      <c r="C533" s="53"/>
      <c r="D533" s="53"/>
      <c r="E533" s="54"/>
      <c r="F533" s="53"/>
      <c r="G533" s="559">
        <f>1.3*1415.61</f>
        <v>1840.2929999999999</v>
      </c>
      <c r="H533" s="561"/>
      <c r="I533" s="589" t="str">
        <f>I451</f>
        <v>علی الحساب</v>
      </c>
    </row>
    <row r="534" spans="1:9" ht="9" customHeight="1">
      <c r="A534" s="612"/>
      <c r="B534" s="585"/>
      <c r="C534" s="54"/>
      <c r="D534" s="54"/>
      <c r="E534" s="54"/>
      <c r="F534" s="54"/>
      <c r="G534" s="560"/>
      <c r="H534" s="562"/>
      <c r="I534" s="590"/>
    </row>
    <row r="535" spans="1:9" ht="9" customHeight="1">
      <c r="A535" s="612"/>
      <c r="B535" s="584" t="str">
        <f>B453</f>
        <v xml:space="preserve"> ستونهای طبقه اول  مرحله دوم ZONE Z1</v>
      </c>
      <c r="C535" s="53"/>
      <c r="D535" s="53"/>
      <c r="E535" s="54"/>
      <c r="F535" s="53"/>
      <c r="G535" s="559">
        <v>245.41</v>
      </c>
      <c r="H535" s="561"/>
      <c r="I535" s="589" t="str">
        <f>I453</f>
        <v>علی الحساب</v>
      </c>
    </row>
    <row r="536" spans="1:9" ht="9" customHeight="1">
      <c r="A536" s="612"/>
      <c r="B536" s="585"/>
      <c r="C536" s="54"/>
      <c r="D536" s="54"/>
      <c r="E536" s="54"/>
      <c r="F536" s="54"/>
      <c r="G536" s="560"/>
      <c r="H536" s="562"/>
      <c r="I536" s="590"/>
    </row>
    <row r="537" spans="1:9" ht="9" customHeight="1">
      <c r="A537" s="612"/>
      <c r="B537" s="584" t="str">
        <f>B455</f>
        <v xml:space="preserve"> ستونهای طبقه اول  مرحله دوم ZONE Z2</v>
      </c>
      <c r="C537" s="53"/>
      <c r="D537" s="53"/>
      <c r="E537" s="54"/>
      <c r="F537" s="53"/>
      <c r="G537" s="559">
        <v>1304.25</v>
      </c>
      <c r="H537" s="561"/>
      <c r="I537" s="589" t="str">
        <f>I455</f>
        <v>علی الحساب</v>
      </c>
    </row>
    <row r="538" spans="1:9" ht="9" customHeight="1">
      <c r="A538" s="612"/>
      <c r="B538" s="585"/>
      <c r="C538" s="54"/>
      <c r="D538" s="54"/>
      <c r="E538" s="54"/>
      <c r="F538" s="54"/>
      <c r="G538" s="560"/>
      <c r="H538" s="562"/>
      <c r="I538" s="590"/>
    </row>
    <row r="539" spans="1:9" ht="9" customHeight="1">
      <c r="A539" s="612"/>
      <c r="B539" s="584" t="str">
        <f>B457</f>
        <v xml:space="preserve"> ستونهای طبقه اول  مرحله دوم ZONE Z3</v>
      </c>
      <c r="C539" s="53"/>
      <c r="D539" s="53"/>
      <c r="E539" s="54"/>
      <c r="F539" s="53"/>
      <c r="G539" s="559">
        <v>987.33</v>
      </c>
      <c r="H539" s="561"/>
      <c r="I539" s="589" t="str">
        <f>I457</f>
        <v>علی الحساب</v>
      </c>
    </row>
    <row r="540" spans="1:9" ht="9" customHeight="1">
      <c r="A540" s="612"/>
      <c r="B540" s="585"/>
      <c r="C540" s="54"/>
      <c r="D540" s="54"/>
      <c r="E540" s="54"/>
      <c r="F540" s="54"/>
      <c r="G540" s="560"/>
      <c r="H540" s="562"/>
      <c r="I540" s="590"/>
    </row>
    <row r="541" spans="1:9" ht="9" customHeight="1">
      <c r="A541" s="612"/>
      <c r="B541" s="584" t="str">
        <f>B459</f>
        <v xml:space="preserve"> ستونهای طبقه اول  مرحله دوم ZONE Z4</v>
      </c>
      <c r="C541" s="53"/>
      <c r="D541" s="53"/>
      <c r="E541" s="54"/>
      <c r="F541" s="53"/>
      <c r="G541" s="559">
        <v>1494.06</v>
      </c>
      <c r="H541" s="561"/>
      <c r="I541" s="589" t="str">
        <f>I459</f>
        <v>علی الحساب</v>
      </c>
    </row>
    <row r="542" spans="1:9" ht="9" customHeight="1">
      <c r="A542" s="612"/>
      <c r="B542" s="585"/>
      <c r="C542" s="54"/>
      <c r="D542" s="54"/>
      <c r="E542" s="54"/>
      <c r="F542" s="54"/>
      <c r="G542" s="560"/>
      <c r="H542" s="562"/>
      <c r="I542" s="590"/>
    </row>
    <row r="543" spans="1:9" ht="9" customHeight="1">
      <c r="A543" s="612"/>
      <c r="B543" s="584" t="str">
        <f>B461</f>
        <v xml:space="preserve"> ستونهای طبقه اول  مرحله دوم ZONE Z5</v>
      </c>
      <c r="C543" s="53"/>
      <c r="D543" s="53"/>
      <c r="E543" s="54"/>
      <c r="F543" s="53"/>
      <c r="G543" s="559">
        <v>313.63</v>
      </c>
      <c r="H543" s="561"/>
      <c r="I543" s="589" t="str">
        <f>I461</f>
        <v>علی الحساب</v>
      </c>
    </row>
    <row r="544" spans="1:9" ht="9" customHeight="1">
      <c r="A544" s="612"/>
      <c r="B544" s="585"/>
      <c r="C544" s="54"/>
      <c r="D544" s="54"/>
      <c r="E544" s="54"/>
      <c r="F544" s="54"/>
      <c r="G544" s="560"/>
      <c r="H544" s="562"/>
      <c r="I544" s="590"/>
    </row>
    <row r="545" spans="1:9" ht="9" customHeight="1">
      <c r="A545" s="612"/>
      <c r="B545" s="584" t="str">
        <f>B463</f>
        <v xml:space="preserve"> ستونهای طبقه اول  مرحله دوم ZONE Y1</v>
      </c>
      <c r="C545" s="53"/>
      <c r="D545" s="53"/>
      <c r="E545" s="54"/>
      <c r="F545" s="53"/>
      <c r="G545" s="559">
        <v>408.15</v>
      </c>
      <c r="H545" s="561"/>
      <c r="I545" s="589" t="str">
        <f>I463</f>
        <v>علی الحساب</v>
      </c>
    </row>
    <row r="546" spans="1:9" ht="9" customHeight="1">
      <c r="A546" s="612"/>
      <c r="B546" s="585"/>
      <c r="C546" s="54"/>
      <c r="D546" s="54"/>
      <c r="E546" s="54"/>
      <c r="F546" s="54"/>
      <c r="G546" s="560"/>
      <c r="H546" s="562"/>
      <c r="I546" s="590"/>
    </row>
    <row r="547" spans="1:9" ht="9" customHeight="1">
      <c r="A547" s="612"/>
      <c r="B547" s="584" t="str">
        <f>B465</f>
        <v xml:space="preserve"> ستونهای طبقه اول  مرحله دوم ZONE Y2</v>
      </c>
      <c r="C547" s="53"/>
      <c r="D547" s="53"/>
      <c r="E547" s="54"/>
      <c r="F547" s="53"/>
      <c r="G547" s="559">
        <v>668.09</v>
      </c>
      <c r="H547" s="561"/>
      <c r="I547" s="589" t="str">
        <f>I465</f>
        <v>علی الحساب</v>
      </c>
    </row>
    <row r="548" spans="1:9" ht="9" customHeight="1">
      <c r="A548" s="612"/>
      <c r="B548" s="585"/>
      <c r="C548" s="54"/>
      <c r="D548" s="54"/>
      <c r="E548" s="54"/>
      <c r="F548" s="54"/>
      <c r="G548" s="560"/>
      <c r="H548" s="562"/>
      <c r="I548" s="590"/>
    </row>
    <row r="549" spans="1:9" ht="9" customHeight="1">
      <c r="A549" s="612"/>
      <c r="B549" s="584" t="str">
        <f>B467</f>
        <v xml:space="preserve"> ستونهای طبقه اول  مرحله دوم ZONE Y3</v>
      </c>
      <c r="C549" s="53"/>
      <c r="D549" s="53"/>
      <c r="E549" s="53"/>
      <c r="F549" s="53"/>
      <c r="G549" s="559">
        <v>977.76</v>
      </c>
      <c r="H549" s="561"/>
      <c r="I549" s="589" t="str">
        <f>I467</f>
        <v>علی الحساب</v>
      </c>
    </row>
    <row r="550" spans="1:9" ht="9" customHeight="1">
      <c r="A550" s="612"/>
      <c r="B550" s="585"/>
      <c r="C550" s="53"/>
      <c r="D550" s="53"/>
      <c r="E550" s="54"/>
      <c r="F550" s="53"/>
      <c r="G550" s="560"/>
      <c r="H550" s="562"/>
      <c r="I550" s="590"/>
    </row>
    <row r="551" spans="1:9" ht="12" customHeight="1">
      <c r="A551" s="613"/>
      <c r="B551" s="565" t="s">
        <v>33</v>
      </c>
      <c r="C551" s="566"/>
      <c r="D551" s="566"/>
      <c r="E551" s="567"/>
      <c r="F551" s="299" t="str">
        <f>A486</f>
        <v>070204</v>
      </c>
      <c r="G551" s="300">
        <f>SUM(G487:G550)</f>
        <v>29913.33600000001</v>
      </c>
      <c r="H551" s="301">
        <f>SUM(H503:H522)</f>
        <v>0</v>
      </c>
      <c r="I551" s="302" t="str">
        <f>IF(F551="","",VLOOKUP(F551,'ابنیه 95'!$A:$E,3,FALSE))</f>
        <v>کيلوگرم</v>
      </c>
    </row>
    <row r="552" spans="1:9" ht="12" customHeight="1">
      <c r="A552" s="551" t="s">
        <v>110</v>
      </c>
      <c r="B552" s="571" t="str">
        <f>IF(A552="","",VLOOKUP(A552,'ابنیه 95'!$A:$E,2,FALSE))</f>
        <v>تهيه، بريدن، خم كردن و كار گذاشتن ميل گردآجدار از نوع AIII به قطر 12 تا 18 ميلي‌متر، براي بتن مسلح با سيم پيچي لازم .</v>
      </c>
      <c r="C552" s="572"/>
      <c r="D552" s="572"/>
      <c r="E552" s="572"/>
      <c r="F552" s="572"/>
      <c r="G552" s="572"/>
      <c r="H552" s="572"/>
      <c r="I552" s="573"/>
    </row>
    <row r="553" spans="1:9" ht="6.6" customHeight="1">
      <c r="A553" s="612"/>
      <c r="B553" s="584" t="str">
        <f>B389</f>
        <v xml:space="preserve">فونداسیون  ZONE Z1 </v>
      </c>
      <c r="C553" s="53"/>
      <c r="D553" s="53"/>
      <c r="E553" s="53"/>
      <c r="F553" s="53"/>
      <c r="G553" s="559">
        <v>1603.92</v>
      </c>
      <c r="H553" s="561"/>
      <c r="I553" s="563" t="str">
        <f>I389</f>
        <v>صورتجلسه شماره: 3</v>
      </c>
    </row>
    <row r="554" spans="1:9" ht="6.6" customHeight="1">
      <c r="A554" s="612"/>
      <c r="B554" s="585"/>
      <c r="C554" s="53"/>
      <c r="D554" s="53"/>
      <c r="E554" s="54"/>
      <c r="F554" s="53"/>
      <c r="G554" s="560"/>
      <c r="H554" s="562"/>
      <c r="I554" s="564"/>
    </row>
    <row r="555" spans="1:9" ht="6.6" customHeight="1">
      <c r="A555" s="612"/>
      <c r="B555" s="584" t="str">
        <f>B391</f>
        <v>فونداسیون  ZONE Z2</v>
      </c>
      <c r="C555" s="53"/>
      <c r="D555" s="53"/>
      <c r="E555" s="53"/>
      <c r="F555" s="53"/>
      <c r="G555" s="559">
        <v>6326.64</v>
      </c>
      <c r="H555" s="561"/>
      <c r="I555" s="563" t="str">
        <f>I391</f>
        <v>صورتجلسه شماره: 4</v>
      </c>
    </row>
    <row r="556" spans="1:9" ht="6.6" customHeight="1">
      <c r="A556" s="612"/>
      <c r="B556" s="585"/>
      <c r="C556" s="53"/>
      <c r="D556" s="53"/>
      <c r="E556" s="54"/>
      <c r="F556" s="53"/>
      <c r="G556" s="560"/>
      <c r="H556" s="562"/>
      <c r="I556" s="564"/>
    </row>
    <row r="557" spans="1:9" ht="6.6" customHeight="1">
      <c r="A557" s="612"/>
      <c r="B557" s="584" t="str">
        <f>B393</f>
        <v>فونداسیون  ZONE Z3</v>
      </c>
      <c r="C557" s="53"/>
      <c r="D557" s="53"/>
      <c r="E557" s="53"/>
      <c r="F557" s="53"/>
      <c r="G557" s="559">
        <v>6890.46</v>
      </c>
      <c r="H557" s="561"/>
      <c r="I557" s="563" t="str">
        <f>I393</f>
        <v>صورتجلسه شماره: 5</v>
      </c>
    </row>
    <row r="558" spans="1:9" ht="6.6" customHeight="1">
      <c r="A558" s="612"/>
      <c r="B558" s="585"/>
      <c r="C558" s="275"/>
      <c r="D558" s="275"/>
      <c r="E558" s="292"/>
      <c r="F558" s="275"/>
      <c r="G558" s="560"/>
      <c r="H558" s="562"/>
      <c r="I558" s="564"/>
    </row>
    <row r="559" spans="1:9" ht="6.6" customHeight="1">
      <c r="A559" s="612"/>
      <c r="B559" s="584" t="str">
        <f>B395</f>
        <v>فونداسیون  ZONE Z4</v>
      </c>
      <c r="C559" s="53"/>
      <c r="D559" s="53"/>
      <c r="E559" s="53"/>
      <c r="F559" s="53"/>
      <c r="G559" s="559">
        <v>8299.11</v>
      </c>
      <c r="H559" s="561"/>
      <c r="I559" s="563" t="str">
        <f>I395</f>
        <v>صورتجلسه شماره: 6</v>
      </c>
    </row>
    <row r="560" spans="1:9" ht="6.6" customHeight="1">
      <c r="A560" s="612"/>
      <c r="B560" s="585"/>
      <c r="C560" s="275"/>
      <c r="D560" s="275"/>
      <c r="E560" s="292"/>
      <c r="F560" s="275"/>
      <c r="G560" s="560"/>
      <c r="H560" s="562"/>
      <c r="I560" s="564"/>
    </row>
    <row r="561" spans="1:9" ht="6.6" customHeight="1">
      <c r="A561" s="612"/>
      <c r="B561" s="584" t="str">
        <f>B397</f>
        <v>فونداسیون  ZONE Z5</v>
      </c>
      <c r="C561" s="53"/>
      <c r="D561" s="53"/>
      <c r="E561" s="53"/>
      <c r="F561" s="53"/>
      <c r="G561" s="559">
        <v>1971.11</v>
      </c>
      <c r="H561" s="561"/>
      <c r="I561" s="563" t="str">
        <f>I397</f>
        <v>صورتجلسه شماره: 7</v>
      </c>
    </row>
    <row r="562" spans="1:9" ht="6.6" customHeight="1">
      <c r="A562" s="612"/>
      <c r="B562" s="585"/>
      <c r="C562" s="53"/>
      <c r="D562" s="53"/>
      <c r="E562" s="54"/>
      <c r="F562" s="53"/>
      <c r="G562" s="560"/>
      <c r="H562" s="562"/>
      <c r="I562" s="564"/>
    </row>
    <row r="563" spans="1:9" ht="6.6" customHeight="1">
      <c r="A563" s="612"/>
      <c r="B563" s="584" t="str">
        <f>B399</f>
        <v>فونداسیون  ZONE Y1</v>
      </c>
      <c r="C563" s="53"/>
      <c r="D563" s="53"/>
      <c r="E563" s="53"/>
      <c r="F563" s="53"/>
      <c r="G563" s="559">
        <v>2708.97</v>
      </c>
      <c r="H563" s="561"/>
      <c r="I563" s="563" t="str">
        <f>I399</f>
        <v>صورتجلسه شماره: 8</v>
      </c>
    </row>
    <row r="564" spans="1:9" ht="6.6" customHeight="1">
      <c r="A564" s="612"/>
      <c r="B564" s="585"/>
      <c r="C564" s="275"/>
      <c r="D564" s="275"/>
      <c r="E564" s="292"/>
      <c r="F564" s="275"/>
      <c r="G564" s="560"/>
      <c r="H564" s="562"/>
      <c r="I564" s="564"/>
    </row>
    <row r="565" spans="1:9" ht="6.6" customHeight="1">
      <c r="A565" s="612"/>
      <c r="B565" s="584" t="str">
        <f>B401</f>
        <v>فونداسیون  ZONE Y2</v>
      </c>
      <c r="C565" s="53"/>
      <c r="D565" s="53"/>
      <c r="E565" s="53"/>
      <c r="F565" s="53"/>
      <c r="G565" s="559">
        <v>3603.51</v>
      </c>
      <c r="H565" s="561"/>
      <c r="I565" s="563" t="str">
        <f>I401</f>
        <v>صورتجلسه شماره: 9</v>
      </c>
    </row>
    <row r="566" spans="1:9" ht="6.6" customHeight="1">
      <c r="A566" s="612"/>
      <c r="B566" s="585"/>
      <c r="C566" s="275"/>
      <c r="D566" s="275"/>
      <c r="E566" s="292"/>
      <c r="F566" s="275"/>
      <c r="G566" s="560"/>
      <c r="H566" s="562"/>
      <c r="I566" s="564"/>
    </row>
    <row r="567" spans="1:9" ht="6.6" customHeight="1">
      <c r="A567" s="612"/>
      <c r="B567" s="584" t="str">
        <f>B403</f>
        <v>فونداسیون  ZONE Y3</v>
      </c>
      <c r="C567" s="53"/>
      <c r="D567" s="53"/>
      <c r="E567" s="53"/>
      <c r="F567" s="53"/>
      <c r="G567" s="559">
        <v>5569.15</v>
      </c>
      <c r="H567" s="561"/>
      <c r="I567" s="563" t="str">
        <f>I403</f>
        <v>صورتجلسه شماره: 10</v>
      </c>
    </row>
    <row r="568" spans="1:9" ht="6.6" customHeight="1">
      <c r="A568" s="612"/>
      <c r="B568" s="585"/>
      <c r="C568" s="275"/>
      <c r="D568" s="275"/>
      <c r="E568" s="292"/>
      <c r="F568" s="275"/>
      <c r="G568" s="560"/>
      <c r="H568" s="562"/>
      <c r="I568" s="564"/>
    </row>
    <row r="569" spans="1:9" ht="6.6" customHeight="1">
      <c r="A569" s="612"/>
      <c r="B569" s="584" t="str">
        <f>B405</f>
        <v xml:space="preserve"> ستونهای طبقه زیرزمین   ZONE Z ,Y</v>
      </c>
      <c r="C569" s="53"/>
      <c r="D569" s="53"/>
      <c r="E569" s="53"/>
      <c r="F569" s="53"/>
      <c r="G569" s="559">
        <v>824.76</v>
      </c>
      <c r="H569" s="561"/>
      <c r="I569" s="563" t="str">
        <f>I405</f>
        <v>صورتجلسه شماره: 11</v>
      </c>
    </row>
    <row r="570" spans="1:9" ht="6.6" customHeight="1">
      <c r="A570" s="612"/>
      <c r="B570" s="585"/>
      <c r="C570" s="400"/>
      <c r="D570" s="400"/>
      <c r="E570" s="401"/>
      <c r="F570" s="400"/>
      <c r="G570" s="560"/>
      <c r="H570" s="562"/>
      <c r="I570" s="564"/>
    </row>
    <row r="571" spans="1:9" ht="6.6" customHeight="1">
      <c r="A571" s="612"/>
      <c r="B571" s="584" t="str">
        <f>B505</f>
        <v xml:space="preserve">سقف زیرزمین درZONE Z1 </v>
      </c>
      <c r="C571" s="53"/>
      <c r="D571" s="53"/>
      <c r="E571" s="53"/>
      <c r="F571" s="53"/>
      <c r="G571" s="559">
        <f>(355+350+349.89+187.37+856.9)*1.3</f>
        <v>2728.9079999999999</v>
      </c>
      <c r="H571" s="561"/>
      <c r="I571" s="563" t="str">
        <f>I505</f>
        <v>علی الحساب</v>
      </c>
    </row>
    <row r="572" spans="1:9" ht="6.6" customHeight="1">
      <c r="A572" s="612"/>
      <c r="B572" s="585"/>
      <c r="C572" s="53"/>
      <c r="D572" s="53"/>
      <c r="E572" s="54"/>
      <c r="F572" s="53"/>
      <c r="G572" s="560"/>
      <c r="H572" s="562"/>
      <c r="I572" s="564"/>
    </row>
    <row r="573" spans="1:9" ht="6.6" customHeight="1">
      <c r="A573" s="612"/>
      <c r="B573" s="584" t="str">
        <f>B507</f>
        <v>سقف زیرزمین درZONE Z2</v>
      </c>
      <c r="C573" s="53"/>
      <c r="D573" s="53"/>
      <c r="E573" s="53"/>
      <c r="F573" s="53"/>
      <c r="G573" s="559">
        <f>1.3*11156.28</f>
        <v>14503.164000000001</v>
      </c>
      <c r="H573" s="561"/>
      <c r="I573" s="563" t="str">
        <f>I507</f>
        <v>علی الحساب</v>
      </c>
    </row>
    <row r="574" spans="1:9" ht="6.6" customHeight="1">
      <c r="A574" s="612"/>
      <c r="B574" s="585"/>
      <c r="C574" s="53"/>
      <c r="D574" s="53"/>
      <c r="E574" s="54"/>
      <c r="F574" s="53"/>
      <c r="G574" s="560"/>
      <c r="H574" s="562"/>
      <c r="I574" s="564"/>
    </row>
    <row r="575" spans="1:9" ht="6.6" customHeight="1">
      <c r="A575" s="612"/>
      <c r="B575" s="584" t="str">
        <f>B509</f>
        <v>سقف زیرزمین درZONE Z3</v>
      </c>
      <c r="C575" s="53"/>
      <c r="D575" s="53"/>
      <c r="E575" s="53"/>
      <c r="F575" s="53"/>
      <c r="G575" s="559">
        <f>1.3*8651.55</f>
        <v>11247.014999999999</v>
      </c>
      <c r="H575" s="561"/>
      <c r="I575" s="563" t="str">
        <f>I509</f>
        <v>علی الحساب</v>
      </c>
    </row>
    <row r="576" spans="1:9" ht="6.6" customHeight="1">
      <c r="A576" s="612"/>
      <c r="B576" s="585"/>
      <c r="C576" s="53"/>
      <c r="D576" s="53"/>
      <c r="E576" s="54"/>
      <c r="F576" s="53"/>
      <c r="G576" s="560"/>
      <c r="H576" s="562"/>
      <c r="I576" s="564"/>
    </row>
    <row r="577" spans="1:9" ht="6.6" customHeight="1">
      <c r="A577" s="612"/>
      <c r="B577" s="584" t="str">
        <f>B511</f>
        <v>سقف زیرزمین درZONE Z4</v>
      </c>
      <c r="C577" s="53"/>
      <c r="D577" s="53"/>
      <c r="E577" s="53"/>
      <c r="F577" s="53"/>
      <c r="G577" s="559">
        <f>1.3*14982.54</f>
        <v>19477.302000000003</v>
      </c>
      <c r="H577" s="561"/>
      <c r="I577" s="563" t="str">
        <f>I511</f>
        <v>علی الحساب</v>
      </c>
    </row>
    <row r="578" spans="1:9" ht="6.6" customHeight="1">
      <c r="A578" s="612"/>
      <c r="B578" s="585"/>
      <c r="C578" s="53"/>
      <c r="D578" s="53"/>
      <c r="E578" s="54"/>
      <c r="F578" s="53"/>
      <c r="G578" s="560"/>
      <c r="H578" s="562"/>
      <c r="I578" s="564"/>
    </row>
    <row r="579" spans="1:9" ht="6.6" customHeight="1">
      <c r="A579" s="612"/>
      <c r="B579" s="584" t="str">
        <f>B513</f>
        <v>سقف زیرزمین درZONE Z5</v>
      </c>
      <c r="C579" s="53"/>
      <c r="D579" s="53"/>
      <c r="E579" s="53"/>
      <c r="F579" s="53"/>
      <c r="G579" s="559">
        <f>1.3*2748.18</f>
        <v>3572.634</v>
      </c>
      <c r="H579" s="561"/>
      <c r="I579" s="563" t="str">
        <f>I513</f>
        <v>علی الحساب</v>
      </c>
    </row>
    <row r="580" spans="1:9" ht="6.6" customHeight="1">
      <c r="A580" s="612"/>
      <c r="B580" s="585"/>
      <c r="C580" s="53"/>
      <c r="D580" s="53"/>
      <c r="E580" s="54"/>
      <c r="F580" s="53"/>
      <c r="G580" s="560"/>
      <c r="H580" s="562"/>
      <c r="I580" s="564"/>
    </row>
    <row r="581" spans="1:9" ht="6.6" customHeight="1">
      <c r="A581" s="612"/>
      <c r="B581" s="584" t="str">
        <f>B515</f>
        <v>سقف زیرزمین درZONE Y1</v>
      </c>
      <c r="C581" s="53"/>
      <c r="D581" s="53"/>
      <c r="E581" s="53"/>
      <c r="F581" s="53"/>
      <c r="G581" s="559">
        <v>2069.09</v>
      </c>
      <c r="H581" s="561"/>
      <c r="I581" s="563" t="str">
        <f>I515</f>
        <v>صورتجلسه شماره:12</v>
      </c>
    </row>
    <row r="582" spans="1:9" ht="6.6" customHeight="1">
      <c r="A582" s="612"/>
      <c r="B582" s="585"/>
      <c r="C582" s="53"/>
      <c r="D582" s="53"/>
      <c r="E582" s="54"/>
      <c r="F582" s="53"/>
      <c r="G582" s="560"/>
      <c r="H582" s="562"/>
      <c r="I582" s="564"/>
    </row>
    <row r="583" spans="1:9" ht="6.6" customHeight="1">
      <c r="A583" s="612"/>
      <c r="B583" s="584" t="str">
        <f>B517</f>
        <v>سقف زیرزمین درZONE Y2</v>
      </c>
      <c r="C583" s="53"/>
      <c r="D583" s="53"/>
      <c r="E583" s="53"/>
      <c r="F583" s="53"/>
      <c r="G583" s="559">
        <v>2984.12</v>
      </c>
      <c r="H583" s="561"/>
      <c r="I583" s="563" t="str">
        <f>I517</f>
        <v>صورتجلسه شماره:13</v>
      </c>
    </row>
    <row r="584" spans="1:9" ht="6.6" customHeight="1">
      <c r="A584" s="612"/>
      <c r="B584" s="585"/>
      <c r="C584" s="53"/>
      <c r="D584" s="53"/>
      <c r="E584" s="54"/>
      <c r="F584" s="53"/>
      <c r="G584" s="560"/>
      <c r="H584" s="562"/>
      <c r="I584" s="564"/>
    </row>
    <row r="585" spans="1:9" ht="6.6" customHeight="1">
      <c r="A585" s="612"/>
      <c r="B585" s="584" t="str">
        <f>B519</f>
        <v>سقف زیرزمین درZONE Y3</v>
      </c>
      <c r="C585" s="53"/>
      <c r="D585" s="53"/>
      <c r="E585" s="53"/>
      <c r="F585" s="53"/>
      <c r="G585" s="559">
        <v>10872.45</v>
      </c>
      <c r="H585" s="561"/>
      <c r="I585" s="563" t="str">
        <f>I519</f>
        <v>علی الحساب</v>
      </c>
    </row>
    <row r="586" spans="1:9" ht="6.6" customHeight="1">
      <c r="A586" s="612"/>
      <c r="B586" s="585"/>
      <c r="C586" s="53"/>
      <c r="D586" s="53"/>
      <c r="E586" s="54"/>
      <c r="F586" s="53"/>
      <c r="G586" s="560"/>
      <c r="H586" s="562"/>
      <c r="I586" s="564"/>
    </row>
    <row r="587" spans="1:9" ht="6.6" customHeight="1">
      <c r="A587" s="612"/>
      <c r="B587" s="584" t="str">
        <f>B423</f>
        <v xml:space="preserve"> ستونهای طبقه اول  مرحله اول ZONE Z1</v>
      </c>
      <c r="C587" s="53"/>
      <c r="D587" s="53"/>
      <c r="E587" s="53"/>
      <c r="F587" s="53"/>
      <c r="G587" s="559">
        <f>1.3*375</f>
        <v>487.5</v>
      </c>
      <c r="H587" s="561"/>
      <c r="I587" s="563" t="str">
        <f>I423</f>
        <v>علی الحساب</v>
      </c>
    </row>
    <row r="588" spans="1:9" ht="6.6" customHeight="1">
      <c r="A588" s="612"/>
      <c r="B588" s="585"/>
      <c r="C588" s="53"/>
      <c r="D588" s="53"/>
      <c r="E588" s="54"/>
      <c r="F588" s="53"/>
      <c r="G588" s="560"/>
      <c r="H588" s="562"/>
      <c r="I588" s="564"/>
    </row>
    <row r="589" spans="1:9" ht="6.6" customHeight="1">
      <c r="A589" s="612"/>
      <c r="B589" s="584" t="str">
        <f>B425</f>
        <v xml:space="preserve"> ستونهای طبقه اول  مرحله اول ZONE Z2</v>
      </c>
      <c r="C589" s="53"/>
      <c r="D589" s="53"/>
      <c r="E589" s="53"/>
      <c r="F589" s="53"/>
      <c r="G589" s="559">
        <f>1.3*1992.99</f>
        <v>2590.8870000000002</v>
      </c>
      <c r="H589" s="561"/>
      <c r="I589" s="563" t="str">
        <f>I425</f>
        <v>علی الحساب</v>
      </c>
    </row>
    <row r="590" spans="1:9" ht="6.6" customHeight="1">
      <c r="A590" s="612"/>
      <c r="B590" s="585"/>
      <c r="C590" s="53"/>
      <c r="D590" s="53"/>
      <c r="E590" s="54"/>
      <c r="F590" s="53"/>
      <c r="G590" s="560"/>
      <c r="H590" s="562"/>
      <c r="I590" s="564"/>
    </row>
    <row r="591" spans="1:9" ht="6.6" customHeight="1">
      <c r="A591" s="612"/>
      <c r="B591" s="584" t="str">
        <f>B427</f>
        <v xml:space="preserve"> ستونهای طبقه اول  مرحله اول ZONE Z3</v>
      </c>
      <c r="C591" s="53"/>
      <c r="D591" s="53"/>
      <c r="E591" s="53"/>
      <c r="F591" s="53"/>
      <c r="G591" s="559">
        <f>1.3*1545.54</f>
        <v>2009.202</v>
      </c>
      <c r="H591" s="561"/>
      <c r="I591" s="563" t="str">
        <f>I427</f>
        <v>علی الحساب</v>
      </c>
    </row>
    <row r="592" spans="1:9" ht="6.6" customHeight="1">
      <c r="A592" s="612"/>
      <c r="B592" s="585"/>
      <c r="C592" s="53"/>
      <c r="D592" s="53"/>
      <c r="E592" s="54"/>
      <c r="F592" s="53"/>
      <c r="G592" s="560"/>
      <c r="H592" s="562"/>
      <c r="I592" s="564"/>
    </row>
    <row r="593" spans="1:9" ht="6.6" customHeight="1">
      <c r="A593" s="612"/>
      <c r="B593" s="584" t="str">
        <f>B429</f>
        <v xml:space="preserve"> ستونهای طبقه اول  مرحله اول ZONE Z4</v>
      </c>
      <c r="C593" s="53"/>
      <c r="D593" s="53"/>
      <c r="E593" s="53"/>
      <c r="F593" s="53"/>
      <c r="G593" s="559">
        <f>1.3*2676.52</f>
        <v>3479.4760000000001</v>
      </c>
      <c r="H593" s="561"/>
      <c r="I593" s="563" t="str">
        <f>I429</f>
        <v>علی الحساب</v>
      </c>
    </row>
    <row r="594" spans="1:9" ht="6.6" customHeight="1">
      <c r="A594" s="612"/>
      <c r="B594" s="585"/>
      <c r="C594" s="53"/>
      <c r="D594" s="53"/>
      <c r="E594" s="54"/>
      <c r="F594" s="53"/>
      <c r="G594" s="560"/>
      <c r="H594" s="562"/>
      <c r="I594" s="564"/>
    </row>
    <row r="595" spans="1:9" ht="6.6" customHeight="1">
      <c r="A595" s="612"/>
      <c r="B595" s="584" t="str">
        <f>B431</f>
        <v xml:space="preserve"> ستونهای طبقه اول  مرحله اول ZONE Z5</v>
      </c>
      <c r="C595" s="53"/>
      <c r="D595" s="53"/>
      <c r="E595" s="53"/>
      <c r="F595" s="53"/>
      <c r="G595" s="559">
        <f>1.3*490.94</f>
        <v>638.22199999999998</v>
      </c>
      <c r="H595" s="561"/>
      <c r="I595" s="563" t="str">
        <f>I431</f>
        <v>علی الحساب</v>
      </c>
    </row>
    <row r="596" spans="1:9" ht="6.6" customHeight="1">
      <c r="A596" s="612"/>
      <c r="B596" s="585"/>
      <c r="C596" s="53"/>
      <c r="D596" s="53"/>
      <c r="E596" s="54"/>
      <c r="F596" s="53"/>
      <c r="G596" s="560"/>
      <c r="H596" s="562"/>
      <c r="I596" s="564"/>
    </row>
    <row r="597" spans="1:9" ht="6.6" customHeight="1">
      <c r="A597" s="612"/>
      <c r="B597" s="584" t="str">
        <f>B433</f>
        <v xml:space="preserve"> ستونهای طبقه اول  مرحله اول ZONE Y1</v>
      </c>
      <c r="C597" s="53"/>
      <c r="D597" s="53"/>
      <c r="E597" s="53"/>
      <c r="F597" s="53"/>
      <c r="G597" s="559">
        <f>1.3*623.67</f>
        <v>810.77099999999996</v>
      </c>
      <c r="H597" s="561"/>
      <c r="I597" s="563" t="str">
        <f>I433</f>
        <v>علی الحساب</v>
      </c>
    </row>
    <row r="598" spans="1:9" ht="6.6" customHeight="1">
      <c r="A598" s="612"/>
      <c r="B598" s="585"/>
      <c r="C598" s="53"/>
      <c r="D598" s="53"/>
      <c r="E598" s="54"/>
      <c r="F598" s="53"/>
      <c r="G598" s="560"/>
      <c r="H598" s="562"/>
      <c r="I598" s="564"/>
    </row>
    <row r="599" spans="1:9" ht="6.6" customHeight="1">
      <c r="A599" s="612"/>
      <c r="B599" s="584" t="str">
        <f>B435</f>
        <v xml:space="preserve"> ستونهای طبقه اول  مرحله اول ZONE Y2</v>
      </c>
      <c r="C599" s="53"/>
      <c r="D599" s="53"/>
      <c r="E599" s="53"/>
      <c r="F599" s="53"/>
      <c r="G599" s="559">
        <f>1.3*1020.88</f>
        <v>1327.144</v>
      </c>
      <c r="H599" s="561"/>
      <c r="I599" s="563" t="str">
        <f>I435</f>
        <v>علی الحساب</v>
      </c>
    </row>
    <row r="600" spans="1:9" ht="6.6" customHeight="1">
      <c r="A600" s="612"/>
      <c r="B600" s="585"/>
      <c r="C600" s="53"/>
      <c r="D600" s="53"/>
      <c r="E600" s="54"/>
      <c r="F600" s="53"/>
      <c r="G600" s="560"/>
      <c r="H600" s="562"/>
      <c r="I600" s="564"/>
    </row>
    <row r="601" spans="1:9" ht="6.6" customHeight="1">
      <c r="A601" s="612"/>
      <c r="B601" s="584" t="str">
        <f>B437</f>
        <v xml:space="preserve"> ستونهای طبقه اول  مرحله اول ZONE Y3</v>
      </c>
      <c r="C601" s="53"/>
      <c r="D601" s="53"/>
      <c r="E601" s="53"/>
      <c r="F601" s="53"/>
      <c r="G601" s="559">
        <f>537.86+1494.06</f>
        <v>2031.92</v>
      </c>
      <c r="H601" s="561"/>
      <c r="I601" s="563" t="str">
        <f>I437</f>
        <v>علی الحساب</v>
      </c>
    </row>
    <row r="602" spans="1:9" ht="6.6" customHeight="1">
      <c r="A602" s="612"/>
      <c r="B602" s="585"/>
      <c r="C602" s="53"/>
      <c r="D602" s="53"/>
      <c r="E602" s="54"/>
      <c r="F602" s="53"/>
      <c r="G602" s="560"/>
      <c r="H602" s="562"/>
      <c r="I602" s="564"/>
    </row>
    <row r="603" spans="1:9" ht="6.6" customHeight="1">
      <c r="A603" s="612"/>
      <c r="B603" s="584" t="str">
        <f>B521</f>
        <v>عملیات انجام گرفته درتیرهای ZONE Z1</v>
      </c>
      <c r="C603" s="53"/>
      <c r="D603" s="53"/>
      <c r="E603" s="53"/>
      <c r="F603" s="53"/>
      <c r="G603" s="559">
        <f>1.3*1272</f>
        <v>1653.6000000000001</v>
      </c>
      <c r="H603" s="561"/>
      <c r="I603" s="589" t="str">
        <f>I521</f>
        <v>علی الحساب</v>
      </c>
    </row>
    <row r="604" spans="1:9" ht="6.6" customHeight="1">
      <c r="A604" s="612"/>
      <c r="B604" s="585"/>
      <c r="C604" s="53"/>
      <c r="D604" s="53"/>
      <c r="E604" s="54"/>
      <c r="F604" s="53"/>
      <c r="G604" s="560"/>
      <c r="H604" s="562"/>
      <c r="I604" s="590"/>
    </row>
    <row r="605" spans="1:9" ht="6.6" customHeight="1">
      <c r="A605" s="612"/>
      <c r="B605" s="584" t="str">
        <f>B523</f>
        <v>عملیات انجام گرفته درتیرهای ZONE Z2</v>
      </c>
      <c r="C605" s="53"/>
      <c r="D605" s="53"/>
      <c r="E605" s="53"/>
      <c r="F605" s="53"/>
      <c r="G605" s="559">
        <f>1.3*6760.22</f>
        <v>8788.2860000000001</v>
      </c>
      <c r="H605" s="561"/>
      <c r="I605" s="589" t="str">
        <f>I523</f>
        <v>علی الحساب</v>
      </c>
    </row>
    <row r="606" spans="1:9" ht="6.6" customHeight="1">
      <c r="A606" s="612"/>
      <c r="B606" s="585"/>
      <c r="C606" s="53"/>
      <c r="D606" s="53"/>
      <c r="E606" s="54"/>
      <c r="F606" s="53"/>
      <c r="G606" s="560"/>
      <c r="H606" s="562"/>
      <c r="I606" s="590"/>
    </row>
    <row r="607" spans="1:9" ht="6.6" customHeight="1">
      <c r="A607" s="612"/>
      <c r="B607" s="584" t="str">
        <f>B525</f>
        <v>عملیات انجام گرفته درتیرهای ZONE Z3</v>
      </c>
      <c r="C607" s="53"/>
      <c r="D607" s="53"/>
      <c r="E607" s="54"/>
      <c r="F607" s="53"/>
      <c r="G607" s="559">
        <f>1.3*5242.47</f>
        <v>6815.2110000000002</v>
      </c>
      <c r="H607" s="561"/>
      <c r="I607" s="589" t="str">
        <f>I525</f>
        <v>علی الحساب</v>
      </c>
    </row>
    <row r="608" spans="1:9" ht="6.6" customHeight="1">
      <c r="A608" s="612"/>
      <c r="B608" s="585"/>
      <c r="C608" s="54"/>
      <c r="D608" s="54"/>
      <c r="E608" s="54"/>
      <c r="F608" s="54"/>
      <c r="G608" s="560"/>
      <c r="H608" s="562"/>
      <c r="I608" s="590"/>
    </row>
    <row r="609" spans="1:9" ht="6.6" customHeight="1">
      <c r="A609" s="612"/>
      <c r="B609" s="584" t="str">
        <f>B527</f>
        <v>عملیات انجام گرفته درتیرهای ZONE Z4</v>
      </c>
      <c r="C609" s="53"/>
      <c r="D609" s="53"/>
      <c r="E609" s="54"/>
      <c r="F609" s="53"/>
      <c r="G609" s="559">
        <f>1.3*9078.77</f>
        <v>11802.401000000002</v>
      </c>
      <c r="H609" s="561"/>
      <c r="I609" s="589" t="str">
        <f>I527</f>
        <v>علی الحساب</v>
      </c>
    </row>
    <row r="610" spans="1:9" ht="6.6" customHeight="1">
      <c r="A610" s="612"/>
      <c r="B610" s="585"/>
      <c r="C610" s="54"/>
      <c r="D610" s="54"/>
      <c r="E610" s="54"/>
      <c r="F610" s="54"/>
      <c r="G610" s="560"/>
      <c r="H610" s="562"/>
      <c r="I610" s="590"/>
    </row>
    <row r="611" spans="1:9" ht="6.6" customHeight="1">
      <c r="A611" s="612"/>
      <c r="B611" s="584" t="str">
        <f>B529</f>
        <v>عملیات انجام گرفته درتیرهای ZONE Z5</v>
      </c>
      <c r="C611" s="53"/>
      <c r="D611" s="53"/>
      <c r="E611" s="54"/>
      <c r="F611" s="53"/>
      <c r="G611" s="559">
        <f>1.3*1665.28</f>
        <v>2164.864</v>
      </c>
      <c r="H611" s="561"/>
      <c r="I611" s="589" t="str">
        <f>I529</f>
        <v>علی الحساب</v>
      </c>
    </row>
    <row r="612" spans="1:9" ht="6.6" customHeight="1">
      <c r="A612" s="612"/>
      <c r="B612" s="585"/>
      <c r="C612" s="54"/>
      <c r="D612" s="54"/>
      <c r="E612" s="54"/>
      <c r="F612" s="54"/>
      <c r="G612" s="560"/>
      <c r="H612" s="562"/>
      <c r="I612" s="590"/>
    </row>
    <row r="613" spans="1:9" ht="6.6" customHeight="1">
      <c r="A613" s="612"/>
      <c r="B613" s="584" t="str">
        <f>B531</f>
        <v>عملیات انجام گرفته درتیرهای ZONE Y1</v>
      </c>
      <c r="C613" s="53"/>
      <c r="D613" s="53"/>
      <c r="E613" s="54"/>
      <c r="F613" s="53"/>
      <c r="G613" s="559">
        <f>1.3*2115.49</f>
        <v>2750.1369999999997</v>
      </c>
      <c r="H613" s="561"/>
      <c r="I613" s="589" t="str">
        <f>I531</f>
        <v>علی الحساب</v>
      </c>
    </row>
    <row r="614" spans="1:9" ht="6.6" customHeight="1">
      <c r="A614" s="612"/>
      <c r="B614" s="585"/>
      <c r="C614" s="54"/>
      <c r="D614" s="54"/>
      <c r="E614" s="54"/>
      <c r="F614" s="54"/>
      <c r="G614" s="560"/>
      <c r="H614" s="562"/>
      <c r="I614" s="590"/>
    </row>
    <row r="615" spans="1:9" ht="6.6" customHeight="1">
      <c r="A615" s="612"/>
      <c r="B615" s="584" t="str">
        <f>B533</f>
        <v>عملیات انجام گرفته درتیرهای ZONE Y2</v>
      </c>
      <c r="C615" s="53"/>
      <c r="D615" s="53"/>
      <c r="E615" s="54"/>
      <c r="F615" s="53"/>
      <c r="G615" s="559">
        <f>1.3*3462.81</f>
        <v>4501.6530000000002</v>
      </c>
      <c r="H615" s="561"/>
      <c r="I615" s="589" t="str">
        <f>I533</f>
        <v>علی الحساب</v>
      </c>
    </row>
    <row r="616" spans="1:9" ht="6.6" customHeight="1">
      <c r="A616" s="612"/>
      <c r="B616" s="585"/>
      <c r="C616" s="54"/>
      <c r="D616" s="54"/>
      <c r="E616" s="54"/>
      <c r="F616" s="54"/>
      <c r="G616" s="560"/>
      <c r="H616" s="562"/>
      <c r="I616" s="590"/>
    </row>
    <row r="617" spans="1:9" ht="6.6" customHeight="1">
      <c r="A617" s="612"/>
      <c r="B617" s="584" t="str">
        <f>B453</f>
        <v xml:space="preserve"> ستونهای طبقه اول  مرحله دوم ZONE Z1</v>
      </c>
      <c r="C617" s="53"/>
      <c r="D617" s="53"/>
      <c r="E617" s="53"/>
      <c r="F617" s="53"/>
      <c r="G617" s="559">
        <f>1.3*375</f>
        <v>487.5</v>
      </c>
      <c r="H617" s="561"/>
      <c r="I617" s="563" t="str">
        <f>I453</f>
        <v>علی الحساب</v>
      </c>
    </row>
    <row r="618" spans="1:9" ht="6.6" customHeight="1">
      <c r="A618" s="612"/>
      <c r="B618" s="585"/>
      <c r="C618" s="53"/>
      <c r="D618" s="53"/>
      <c r="E618" s="54"/>
      <c r="F618" s="53"/>
      <c r="G618" s="560"/>
      <c r="H618" s="562"/>
      <c r="I618" s="564"/>
    </row>
    <row r="619" spans="1:9" ht="6.6" customHeight="1">
      <c r="A619" s="612"/>
      <c r="B619" s="584" t="str">
        <f>B455</f>
        <v xml:space="preserve"> ستونهای طبقه اول  مرحله دوم ZONE Z2</v>
      </c>
      <c r="C619" s="53"/>
      <c r="D619" s="53"/>
      <c r="E619" s="53"/>
      <c r="F619" s="53"/>
      <c r="G619" s="559">
        <f>1.3*1992.99</f>
        <v>2590.8870000000002</v>
      </c>
      <c r="H619" s="561"/>
      <c r="I619" s="563" t="str">
        <f>I455</f>
        <v>علی الحساب</v>
      </c>
    </row>
    <row r="620" spans="1:9" ht="6.6" customHeight="1">
      <c r="A620" s="612"/>
      <c r="B620" s="585"/>
      <c r="C620" s="53"/>
      <c r="D620" s="53"/>
      <c r="E620" s="54"/>
      <c r="F620" s="53"/>
      <c r="G620" s="560"/>
      <c r="H620" s="562"/>
      <c r="I620" s="564"/>
    </row>
    <row r="621" spans="1:9" ht="6.6" customHeight="1">
      <c r="A621" s="612"/>
      <c r="B621" s="584" t="str">
        <f>B457</f>
        <v xml:space="preserve"> ستونهای طبقه اول  مرحله دوم ZONE Z3</v>
      </c>
      <c r="C621" s="53"/>
      <c r="D621" s="53"/>
      <c r="E621" s="53"/>
      <c r="F621" s="53"/>
      <c r="G621" s="559">
        <f>1.3*1545.54</f>
        <v>2009.202</v>
      </c>
      <c r="H621" s="561"/>
      <c r="I621" s="563" t="str">
        <f>I457</f>
        <v>علی الحساب</v>
      </c>
    </row>
    <row r="622" spans="1:9" ht="6.6" customHeight="1">
      <c r="A622" s="612"/>
      <c r="B622" s="585"/>
      <c r="C622" s="53"/>
      <c r="D622" s="53"/>
      <c r="E622" s="54"/>
      <c r="F622" s="53"/>
      <c r="G622" s="560"/>
      <c r="H622" s="562"/>
      <c r="I622" s="564"/>
    </row>
    <row r="623" spans="1:9" ht="6.6" customHeight="1">
      <c r="A623" s="612"/>
      <c r="B623" s="584" t="str">
        <f>B459</f>
        <v xml:space="preserve"> ستونهای طبقه اول  مرحله دوم ZONE Z4</v>
      </c>
      <c r="C623" s="53"/>
      <c r="D623" s="53"/>
      <c r="E623" s="53"/>
      <c r="F623" s="53"/>
      <c r="G623" s="559">
        <f>1.3*2676.52</f>
        <v>3479.4760000000001</v>
      </c>
      <c r="H623" s="561"/>
      <c r="I623" s="563" t="str">
        <f>I459</f>
        <v>علی الحساب</v>
      </c>
    </row>
    <row r="624" spans="1:9" ht="6.6" customHeight="1">
      <c r="A624" s="612"/>
      <c r="B624" s="585"/>
      <c r="C624" s="53"/>
      <c r="D624" s="53"/>
      <c r="E624" s="54"/>
      <c r="F624" s="53"/>
      <c r="G624" s="560"/>
      <c r="H624" s="562"/>
      <c r="I624" s="564"/>
    </row>
    <row r="625" spans="1:9" ht="6.6" customHeight="1">
      <c r="A625" s="612"/>
      <c r="B625" s="584" t="str">
        <f>B461</f>
        <v xml:space="preserve"> ستونهای طبقه اول  مرحله دوم ZONE Z5</v>
      </c>
      <c r="C625" s="53"/>
      <c r="D625" s="53"/>
      <c r="E625" s="53"/>
      <c r="F625" s="53"/>
      <c r="G625" s="559">
        <f>1.3*490.94</f>
        <v>638.22199999999998</v>
      </c>
      <c r="H625" s="561"/>
      <c r="I625" s="563" t="str">
        <f>I461</f>
        <v>علی الحساب</v>
      </c>
    </row>
    <row r="626" spans="1:9" ht="6.6" customHeight="1">
      <c r="A626" s="612"/>
      <c r="B626" s="585"/>
      <c r="C626" s="53"/>
      <c r="D626" s="53"/>
      <c r="E626" s="54"/>
      <c r="F626" s="53"/>
      <c r="G626" s="560"/>
      <c r="H626" s="562"/>
      <c r="I626" s="564"/>
    </row>
    <row r="627" spans="1:9" ht="6.6" customHeight="1">
      <c r="A627" s="612"/>
      <c r="B627" s="584" t="str">
        <f>B463</f>
        <v xml:space="preserve"> ستونهای طبقه اول  مرحله دوم ZONE Y1</v>
      </c>
      <c r="C627" s="53"/>
      <c r="D627" s="53"/>
      <c r="E627" s="53"/>
      <c r="F627" s="53"/>
      <c r="G627" s="559">
        <f>1.3*623.67</f>
        <v>810.77099999999996</v>
      </c>
      <c r="H627" s="561"/>
      <c r="I627" s="563" t="str">
        <f>I463</f>
        <v>علی الحساب</v>
      </c>
    </row>
    <row r="628" spans="1:9" ht="6.6" customHeight="1">
      <c r="A628" s="612"/>
      <c r="B628" s="585"/>
      <c r="C628" s="53"/>
      <c r="D628" s="53"/>
      <c r="E628" s="54"/>
      <c r="F628" s="53"/>
      <c r="G628" s="560"/>
      <c r="H628" s="562"/>
      <c r="I628" s="564"/>
    </row>
    <row r="629" spans="1:9" ht="6.6" customHeight="1">
      <c r="A629" s="612"/>
      <c r="B629" s="584" t="str">
        <f>B465</f>
        <v xml:space="preserve"> ستونهای طبقه اول  مرحله دوم ZONE Y2</v>
      </c>
      <c r="C629" s="53"/>
      <c r="D629" s="53"/>
      <c r="E629" s="53"/>
      <c r="F629" s="53"/>
      <c r="G629" s="559">
        <f>1.3*1020.88</f>
        <v>1327.144</v>
      </c>
      <c r="H629" s="561"/>
      <c r="I629" s="563" t="str">
        <f>I465</f>
        <v>علی الحساب</v>
      </c>
    </row>
    <row r="630" spans="1:9" ht="6.6" customHeight="1">
      <c r="A630" s="612"/>
      <c r="B630" s="585"/>
      <c r="C630" s="53"/>
      <c r="D630" s="53"/>
      <c r="E630" s="54"/>
      <c r="F630" s="53"/>
      <c r="G630" s="560"/>
      <c r="H630" s="562"/>
      <c r="I630" s="564"/>
    </row>
    <row r="631" spans="1:9" ht="6.6" customHeight="1">
      <c r="A631" s="612"/>
      <c r="B631" s="584" t="str">
        <f>B467</f>
        <v xml:space="preserve"> ستونهای طبقه اول  مرحله دوم ZONE Y3</v>
      </c>
      <c r="C631" s="53"/>
      <c r="D631" s="53"/>
      <c r="E631" s="53"/>
      <c r="F631" s="53"/>
      <c r="G631" s="559">
        <v>1494.06</v>
      </c>
      <c r="H631" s="561"/>
      <c r="I631" s="563" t="str">
        <f>I467</f>
        <v>علی الحساب</v>
      </c>
    </row>
    <row r="632" spans="1:9" ht="6.6" customHeight="1">
      <c r="A632" s="612"/>
      <c r="B632" s="585"/>
      <c r="C632" s="53"/>
      <c r="D632" s="53"/>
      <c r="E632" s="54"/>
      <c r="F632" s="53"/>
      <c r="G632" s="560"/>
      <c r="H632" s="562"/>
      <c r="I632" s="564"/>
    </row>
    <row r="633" spans="1:9" ht="6.6" customHeight="1">
      <c r="A633" s="612"/>
      <c r="B633" s="584" t="str">
        <f>B469</f>
        <v>عملیات انجام گرفته در سقف دوم ZONE Z1</v>
      </c>
      <c r="C633" s="53"/>
      <c r="D633" s="53"/>
      <c r="E633" s="53"/>
      <c r="F633" s="53"/>
      <c r="G633" s="559">
        <v>2504.73</v>
      </c>
      <c r="H633" s="561"/>
      <c r="I633" s="563" t="str">
        <f>I469</f>
        <v>علی الحساب</v>
      </c>
    </row>
    <row r="634" spans="1:9" ht="6.6" customHeight="1">
      <c r="A634" s="612"/>
      <c r="B634" s="585"/>
      <c r="C634" s="53"/>
      <c r="D634" s="53"/>
      <c r="E634" s="54"/>
      <c r="F634" s="53"/>
      <c r="G634" s="560"/>
      <c r="H634" s="562"/>
      <c r="I634" s="564"/>
    </row>
    <row r="635" spans="1:9" ht="6.6" customHeight="1">
      <c r="A635" s="612"/>
      <c r="B635" s="584" t="str">
        <f>B471</f>
        <v>عملیات انجام گرفته در سقف دوم ZONE Z2</v>
      </c>
      <c r="C635" s="53"/>
      <c r="D635" s="53"/>
      <c r="E635" s="53"/>
      <c r="F635" s="53"/>
      <c r="G635" s="559">
        <v>13311.73</v>
      </c>
      <c r="H635" s="561"/>
      <c r="I635" s="563" t="str">
        <f>I471</f>
        <v>علی الحساب</v>
      </c>
    </row>
    <row r="636" spans="1:9" ht="6.6" customHeight="1">
      <c r="A636" s="612"/>
      <c r="B636" s="585"/>
      <c r="C636" s="53"/>
      <c r="D636" s="53"/>
      <c r="E636" s="54"/>
      <c r="F636" s="53"/>
      <c r="G636" s="560"/>
      <c r="H636" s="562"/>
      <c r="I636" s="564"/>
    </row>
    <row r="637" spans="1:9" ht="6.6" customHeight="1">
      <c r="A637" s="612"/>
      <c r="B637" s="584" t="str">
        <f>B473</f>
        <v>عملیات انجام گرفته در سقف دوم ZONE Z3</v>
      </c>
      <c r="C637" s="53"/>
      <c r="D637" s="53"/>
      <c r="E637" s="53"/>
      <c r="F637" s="53"/>
      <c r="G637" s="559">
        <v>10323.07</v>
      </c>
      <c r="H637" s="561"/>
      <c r="I637" s="563" t="str">
        <f>I473</f>
        <v>علی الحساب</v>
      </c>
    </row>
    <row r="638" spans="1:9" ht="6.6" customHeight="1">
      <c r="A638" s="612"/>
      <c r="B638" s="585"/>
      <c r="C638" s="53"/>
      <c r="D638" s="53"/>
      <c r="E638" s="54"/>
      <c r="F638" s="53"/>
      <c r="G638" s="560"/>
      <c r="H638" s="562"/>
      <c r="I638" s="564"/>
    </row>
    <row r="639" spans="1:9" ht="6.6" customHeight="1">
      <c r="A639" s="612"/>
      <c r="B639" s="584" t="str">
        <f>B475</f>
        <v>عملیات انجام گرفته در سقف دوم ZONE Z4</v>
      </c>
      <c r="C639" s="53"/>
      <c r="D639" s="53"/>
      <c r="E639" s="53"/>
      <c r="F639" s="53"/>
      <c r="G639" s="559">
        <v>17877.259999999998</v>
      </c>
      <c r="H639" s="561"/>
      <c r="I639" s="563" t="str">
        <f>I475</f>
        <v>علی الحساب</v>
      </c>
    </row>
    <row r="640" spans="1:9" ht="6.6" customHeight="1">
      <c r="A640" s="612"/>
      <c r="B640" s="585"/>
      <c r="C640" s="53"/>
      <c r="D640" s="53"/>
      <c r="E640" s="54"/>
      <c r="F640" s="53"/>
      <c r="G640" s="560"/>
      <c r="H640" s="562"/>
      <c r="I640" s="564"/>
    </row>
    <row r="641" spans="1:9" ht="6.6" customHeight="1">
      <c r="A641" s="612"/>
      <c r="B641" s="584" t="str">
        <f>B477</f>
        <v>عملیات انجام گرفته در سقف دوم ZONE Z5</v>
      </c>
      <c r="C641" s="53"/>
      <c r="D641" s="53"/>
      <c r="E641" s="53"/>
      <c r="F641" s="53"/>
      <c r="G641" s="559">
        <v>3279.15</v>
      </c>
      <c r="H641" s="561"/>
      <c r="I641" s="563" t="str">
        <f>I477</f>
        <v>علی الحساب</v>
      </c>
    </row>
    <row r="642" spans="1:9" ht="6.6" customHeight="1">
      <c r="A642" s="612"/>
      <c r="B642" s="585"/>
      <c r="C642" s="53"/>
      <c r="D642" s="53"/>
      <c r="E642" s="54"/>
      <c r="F642" s="53"/>
      <c r="G642" s="560"/>
      <c r="H642" s="562"/>
      <c r="I642" s="564"/>
    </row>
    <row r="643" spans="1:9" ht="6.6" customHeight="1">
      <c r="A643" s="612"/>
      <c r="B643" s="584" t="str">
        <f>B479</f>
        <v>عملیات انجام گرفته در سقف دوم ZONE Y1</v>
      </c>
      <c r="C643" s="53"/>
      <c r="D643" s="53"/>
      <c r="E643" s="53"/>
      <c r="F643" s="53"/>
      <c r="G643" s="559">
        <v>4165.66</v>
      </c>
      <c r="H643" s="561"/>
      <c r="I643" s="563" t="str">
        <f>I479</f>
        <v>علی الحساب</v>
      </c>
    </row>
    <row r="644" spans="1:9" ht="6.6" customHeight="1">
      <c r="A644" s="612"/>
      <c r="B644" s="585"/>
      <c r="C644" s="53"/>
      <c r="D644" s="53"/>
      <c r="E644" s="54"/>
      <c r="F644" s="53"/>
      <c r="G644" s="560"/>
      <c r="H644" s="562"/>
      <c r="I644" s="564"/>
    </row>
    <row r="645" spans="1:9" ht="6.6" customHeight="1">
      <c r="A645" s="612"/>
      <c r="B645" s="584" t="str">
        <f>B481</f>
        <v>عملیات انجام گرفته در سقف دوم ZONE Y2</v>
      </c>
      <c r="C645" s="53"/>
      <c r="D645" s="53"/>
      <c r="E645" s="53"/>
      <c r="F645" s="53"/>
      <c r="G645" s="559">
        <v>6818.72</v>
      </c>
      <c r="H645" s="561"/>
      <c r="I645" s="563" t="str">
        <f>I481</f>
        <v>علی الحساب</v>
      </c>
    </row>
    <row r="646" spans="1:9" ht="6.6" customHeight="1">
      <c r="A646" s="612"/>
      <c r="B646" s="585"/>
      <c r="C646" s="53"/>
      <c r="D646" s="53"/>
      <c r="E646" s="54"/>
      <c r="F646" s="53"/>
      <c r="G646" s="560"/>
      <c r="H646" s="562"/>
      <c r="I646" s="564"/>
    </row>
    <row r="647" spans="1:9" ht="6.6" customHeight="1">
      <c r="A647" s="612"/>
      <c r="B647" s="584" t="str">
        <f>B483</f>
        <v>عملیات انجام گرفته در سقف دوم ZONE Y3</v>
      </c>
      <c r="C647" s="53"/>
      <c r="D647" s="53"/>
      <c r="E647" s="53"/>
      <c r="F647" s="53"/>
      <c r="G647" s="559">
        <v>9979.2800000000007</v>
      </c>
      <c r="H647" s="561"/>
      <c r="I647" s="563" t="str">
        <f>I483</f>
        <v>علی الحساب</v>
      </c>
    </row>
    <row r="648" spans="1:9" ht="6.6" customHeight="1">
      <c r="A648" s="612"/>
      <c r="B648" s="585"/>
      <c r="C648" s="53"/>
      <c r="D648" s="53"/>
      <c r="E648" s="54"/>
      <c r="F648" s="53"/>
      <c r="G648" s="560"/>
      <c r="H648" s="562"/>
      <c r="I648" s="564"/>
    </row>
    <row r="649" spans="1:9" ht="12" customHeight="1">
      <c r="A649" s="613"/>
      <c r="B649" s="565" t="s">
        <v>33</v>
      </c>
      <c r="C649" s="566"/>
      <c r="D649" s="566"/>
      <c r="E649" s="567"/>
      <c r="F649" s="299" t="str">
        <f>A552</f>
        <v>070205</v>
      </c>
      <c r="G649" s="307">
        <f>SUM(G553:G648)</f>
        <v>238200.44900000002</v>
      </c>
      <c r="H649" s="301">
        <f>SUM(H553:H616)</f>
        <v>0</v>
      </c>
      <c r="I649" s="302" t="str">
        <f>IF(F649="","",VLOOKUP(F649,'ابنیه 95'!$A:$E,3,FALSE))</f>
        <v>کيلوگرم</v>
      </c>
    </row>
    <row r="650" spans="1:9" ht="12.75" customHeight="1">
      <c r="A650" s="614" t="s">
        <v>138</v>
      </c>
      <c r="B650" s="571" t="str">
        <f>IF(A650="","",VLOOKUP(A650,'ابنیه 95'!$A:$E,2,FALSE))</f>
        <v>تهيه، بريدن، خم كردن و كار گذاشتن ميل گردآجدار از نوع AIII به قطر20 و بيش از20 ميلي‌متر، براي بتن مسلح با سيم پيچي لازم .</v>
      </c>
      <c r="C650" s="572"/>
      <c r="D650" s="572"/>
      <c r="E650" s="572"/>
      <c r="F650" s="572"/>
      <c r="G650" s="572"/>
      <c r="H650" s="572"/>
      <c r="I650" s="573"/>
    </row>
    <row r="651" spans="1:9" ht="9" customHeight="1">
      <c r="A651" s="615"/>
      <c r="B651" s="584" t="str">
        <f>B553</f>
        <v xml:space="preserve">فونداسیون  ZONE Z1 </v>
      </c>
      <c r="C651" s="275"/>
      <c r="D651" s="275"/>
      <c r="E651" s="275"/>
      <c r="F651" s="275"/>
      <c r="G651" s="559">
        <v>824.98</v>
      </c>
      <c r="H651" s="561"/>
      <c r="I651" s="563" t="str">
        <f>I553</f>
        <v>صورتجلسه شماره: 3</v>
      </c>
    </row>
    <row r="652" spans="1:9" ht="9" customHeight="1">
      <c r="A652" s="615"/>
      <c r="B652" s="585"/>
      <c r="C652" s="53"/>
      <c r="D652" s="53"/>
      <c r="E652" s="54"/>
      <c r="F652" s="53"/>
      <c r="G652" s="560"/>
      <c r="H652" s="562"/>
      <c r="I652" s="564"/>
    </row>
    <row r="653" spans="1:9" ht="9" customHeight="1">
      <c r="A653" s="615"/>
      <c r="B653" s="584" t="str">
        <f>B555</f>
        <v>فونداسیون  ZONE Z2</v>
      </c>
      <c r="C653" s="53"/>
      <c r="D653" s="53"/>
      <c r="E653" s="53"/>
      <c r="F653" s="53"/>
      <c r="G653" s="559">
        <v>2889.9</v>
      </c>
      <c r="H653" s="561"/>
      <c r="I653" s="563" t="str">
        <f>I555</f>
        <v>صورتجلسه شماره: 4</v>
      </c>
    </row>
    <row r="654" spans="1:9" ht="9" customHeight="1">
      <c r="A654" s="615"/>
      <c r="B654" s="585"/>
      <c r="C654" s="53"/>
      <c r="D654" s="53"/>
      <c r="E654" s="54"/>
      <c r="F654" s="53"/>
      <c r="G654" s="560"/>
      <c r="H654" s="562"/>
      <c r="I654" s="564"/>
    </row>
    <row r="655" spans="1:9" ht="9" customHeight="1">
      <c r="A655" s="615"/>
      <c r="B655" s="584" t="str">
        <f>B557</f>
        <v>فونداسیون  ZONE Z3</v>
      </c>
      <c r="C655" s="53"/>
      <c r="D655" s="53"/>
      <c r="E655" s="53"/>
      <c r="F655" s="53"/>
      <c r="G655" s="559">
        <v>1589.45</v>
      </c>
      <c r="H655" s="561"/>
      <c r="I655" s="563" t="str">
        <f>I557</f>
        <v>صورتجلسه شماره: 5</v>
      </c>
    </row>
    <row r="656" spans="1:9" ht="9" customHeight="1">
      <c r="A656" s="615"/>
      <c r="B656" s="585"/>
      <c r="C656" s="275"/>
      <c r="D656" s="275"/>
      <c r="E656" s="292"/>
      <c r="F656" s="275"/>
      <c r="G656" s="560"/>
      <c r="H656" s="562"/>
      <c r="I656" s="564"/>
    </row>
    <row r="657" spans="1:9" ht="9" customHeight="1">
      <c r="A657" s="615"/>
      <c r="B657" s="584" t="str">
        <f>B559</f>
        <v>فونداسیون  ZONE Z4</v>
      </c>
      <c r="C657" s="53"/>
      <c r="D657" s="53"/>
      <c r="E657" s="53"/>
      <c r="F657" s="53"/>
      <c r="G657" s="559">
        <v>4383.57</v>
      </c>
      <c r="H657" s="561"/>
      <c r="I657" s="563" t="str">
        <f>I559</f>
        <v>صورتجلسه شماره: 6</v>
      </c>
    </row>
    <row r="658" spans="1:9" ht="9" customHeight="1">
      <c r="A658" s="615"/>
      <c r="B658" s="585"/>
      <c r="C658" s="275"/>
      <c r="D658" s="275"/>
      <c r="E658" s="292"/>
      <c r="F658" s="275"/>
      <c r="G658" s="560"/>
      <c r="H658" s="562"/>
      <c r="I658" s="564"/>
    </row>
    <row r="659" spans="1:9" ht="9" customHeight="1">
      <c r="A659" s="615"/>
      <c r="B659" s="584" t="str">
        <f>B561</f>
        <v>فونداسیون  ZONE Z5</v>
      </c>
      <c r="C659" s="53"/>
      <c r="D659" s="53"/>
      <c r="E659" s="53"/>
      <c r="F659" s="53"/>
      <c r="G659" s="559">
        <v>1176.96</v>
      </c>
      <c r="H659" s="561"/>
      <c r="I659" s="563" t="str">
        <f>I561</f>
        <v>صورتجلسه شماره: 7</v>
      </c>
    </row>
    <row r="660" spans="1:9" ht="9" customHeight="1">
      <c r="A660" s="615"/>
      <c r="B660" s="585"/>
      <c r="C660" s="53"/>
      <c r="D660" s="53"/>
      <c r="E660" s="54"/>
      <c r="F660" s="53"/>
      <c r="G660" s="560"/>
      <c r="H660" s="562"/>
      <c r="I660" s="564"/>
    </row>
    <row r="661" spans="1:9" ht="9" customHeight="1">
      <c r="A661" s="615"/>
      <c r="B661" s="584" t="str">
        <f>B563</f>
        <v>فونداسیون  ZONE Y1</v>
      </c>
      <c r="C661" s="53"/>
      <c r="D661" s="53"/>
      <c r="E661" s="53"/>
      <c r="F661" s="53"/>
      <c r="G661" s="559">
        <v>865.74</v>
      </c>
      <c r="H661" s="561"/>
      <c r="I661" s="563" t="str">
        <f>I563</f>
        <v>صورتجلسه شماره: 8</v>
      </c>
    </row>
    <row r="662" spans="1:9" ht="9" customHeight="1">
      <c r="A662" s="615"/>
      <c r="B662" s="585"/>
      <c r="C662" s="275"/>
      <c r="D662" s="275"/>
      <c r="E662" s="292"/>
      <c r="F662" s="275"/>
      <c r="G662" s="560"/>
      <c r="H662" s="562"/>
      <c r="I662" s="564"/>
    </row>
    <row r="663" spans="1:9" ht="9" customHeight="1">
      <c r="A663" s="615"/>
      <c r="B663" s="584" t="str">
        <f>B565</f>
        <v>فونداسیون  ZONE Y2</v>
      </c>
      <c r="C663" s="53"/>
      <c r="D663" s="53"/>
      <c r="E663" s="53"/>
      <c r="F663" s="53"/>
      <c r="G663" s="559">
        <v>1957.48</v>
      </c>
      <c r="H663" s="561"/>
      <c r="I663" s="563" t="str">
        <f>I565</f>
        <v>صورتجلسه شماره: 9</v>
      </c>
    </row>
    <row r="664" spans="1:9" ht="9" customHeight="1">
      <c r="A664" s="615"/>
      <c r="B664" s="585"/>
      <c r="C664" s="275"/>
      <c r="D664" s="275"/>
      <c r="E664" s="292"/>
      <c r="F664" s="275"/>
      <c r="G664" s="560"/>
      <c r="H664" s="562"/>
      <c r="I664" s="564"/>
    </row>
    <row r="665" spans="1:9" ht="9" customHeight="1">
      <c r="A665" s="615"/>
      <c r="B665" s="584" t="str">
        <f>B567</f>
        <v>فونداسیون  ZONE Y3</v>
      </c>
      <c r="C665" s="53"/>
      <c r="D665" s="53"/>
      <c r="E665" s="53"/>
      <c r="F665" s="53"/>
      <c r="G665" s="559">
        <v>1425.12</v>
      </c>
      <c r="H665" s="561"/>
      <c r="I665" s="563" t="str">
        <f>I567</f>
        <v>صورتجلسه شماره: 10</v>
      </c>
    </row>
    <row r="666" spans="1:9" ht="9" customHeight="1">
      <c r="A666" s="615"/>
      <c r="B666" s="585"/>
      <c r="C666" s="275"/>
      <c r="D666" s="275"/>
      <c r="E666" s="292"/>
      <c r="F666" s="275"/>
      <c r="G666" s="560"/>
      <c r="H666" s="562"/>
      <c r="I666" s="564"/>
    </row>
    <row r="667" spans="1:9" ht="9" customHeight="1">
      <c r="A667" s="615"/>
      <c r="B667" s="584" t="str">
        <f>B503</f>
        <v xml:space="preserve"> ستونهای طبقه زیرزمین   ZONE Z ,Y</v>
      </c>
      <c r="C667" s="53"/>
      <c r="D667" s="53"/>
      <c r="E667" s="53"/>
      <c r="F667" s="53"/>
      <c r="G667" s="559">
        <v>16533.810000000001</v>
      </c>
      <c r="H667" s="561"/>
      <c r="I667" s="563" t="str">
        <f>I503</f>
        <v>صورتجلسه شماره: 11</v>
      </c>
    </row>
    <row r="668" spans="1:9" ht="9" customHeight="1">
      <c r="A668" s="615"/>
      <c r="B668" s="585"/>
      <c r="C668" s="53"/>
      <c r="D668" s="53"/>
      <c r="E668" s="54"/>
      <c r="F668" s="53"/>
      <c r="G668" s="560"/>
      <c r="H668" s="562"/>
      <c r="I668" s="564"/>
    </row>
    <row r="669" spans="1:9" ht="9" customHeight="1">
      <c r="A669" s="615"/>
      <c r="B669" s="584" t="str">
        <f>B571</f>
        <v xml:space="preserve">سقف زیرزمین درZONE Z1 </v>
      </c>
      <c r="C669" s="53"/>
      <c r="D669" s="53"/>
      <c r="E669" s="53"/>
      <c r="F669" s="53"/>
      <c r="G669" s="559">
        <v>134.69</v>
      </c>
      <c r="H669" s="561"/>
      <c r="I669" s="563" t="str">
        <f>I571</f>
        <v>علی الحساب</v>
      </c>
    </row>
    <row r="670" spans="1:9" ht="9" customHeight="1">
      <c r="A670" s="615"/>
      <c r="B670" s="585"/>
      <c r="C670" s="53"/>
      <c r="D670" s="53"/>
      <c r="E670" s="54"/>
      <c r="F670" s="53"/>
      <c r="G670" s="560"/>
      <c r="H670" s="562"/>
      <c r="I670" s="564"/>
    </row>
    <row r="671" spans="1:9" ht="9" customHeight="1">
      <c r="A671" s="615"/>
      <c r="B671" s="584" t="str">
        <f>B573</f>
        <v>سقف زیرزمین درZONE Z2</v>
      </c>
      <c r="C671" s="53"/>
      <c r="D671" s="53"/>
      <c r="E671" s="53"/>
      <c r="F671" s="53"/>
      <c r="G671" s="559">
        <v>715.83</v>
      </c>
      <c r="H671" s="561"/>
      <c r="I671" s="563" t="str">
        <f>I573</f>
        <v>علی الحساب</v>
      </c>
    </row>
    <row r="672" spans="1:9" ht="9" customHeight="1">
      <c r="A672" s="615"/>
      <c r="B672" s="585"/>
      <c r="C672" s="53"/>
      <c r="D672" s="53"/>
      <c r="E672" s="54"/>
      <c r="F672" s="53"/>
      <c r="G672" s="560"/>
      <c r="H672" s="562"/>
      <c r="I672" s="564"/>
    </row>
    <row r="673" spans="1:9" ht="9" customHeight="1">
      <c r="A673" s="615"/>
      <c r="B673" s="584" t="str">
        <f>B575</f>
        <v>سقف زیرزمین درZONE Z3</v>
      </c>
      <c r="C673" s="53"/>
      <c r="D673" s="53"/>
      <c r="E673" s="53"/>
      <c r="F673" s="53"/>
      <c r="G673" s="559">
        <v>555.12</v>
      </c>
      <c r="H673" s="561"/>
      <c r="I673" s="563" t="str">
        <f>I575</f>
        <v>علی الحساب</v>
      </c>
    </row>
    <row r="674" spans="1:9" ht="9" customHeight="1">
      <c r="A674" s="615"/>
      <c r="B674" s="585"/>
      <c r="C674" s="53"/>
      <c r="D674" s="53"/>
      <c r="E674" s="54"/>
      <c r="F674" s="53"/>
      <c r="G674" s="560"/>
      <c r="H674" s="562"/>
      <c r="I674" s="564"/>
    </row>
    <row r="675" spans="1:9" ht="9" customHeight="1">
      <c r="A675" s="615"/>
      <c r="B675" s="584" t="str">
        <f>B577</f>
        <v>سقف زیرزمین درZONE Z4</v>
      </c>
      <c r="C675" s="53"/>
      <c r="D675" s="53"/>
      <c r="E675" s="53"/>
      <c r="F675" s="53"/>
      <c r="G675" s="559">
        <v>961.34</v>
      </c>
      <c r="H675" s="561"/>
      <c r="I675" s="563" t="str">
        <f>I577</f>
        <v>علی الحساب</v>
      </c>
    </row>
    <row r="676" spans="1:9" ht="9" customHeight="1">
      <c r="A676" s="615"/>
      <c r="B676" s="585"/>
      <c r="C676" s="53"/>
      <c r="D676" s="53"/>
      <c r="E676" s="54"/>
      <c r="F676" s="53"/>
      <c r="G676" s="560"/>
      <c r="H676" s="562"/>
      <c r="I676" s="564"/>
    </row>
    <row r="677" spans="1:9" ht="9" customHeight="1">
      <c r="A677" s="615"/>
      <c r="B677" s="584" t="str">
        <f>B579</f>
        <v>سقف زیرزمین درZONE Z5</v>
      </c>
      <c r="C677" s="53"/>
      <c r="D677" s="53"/>
      <c r="E677" s="54"/>
      <c r="F677" s="53"/>
      <c r="G677" s="559">
        <v>176.33</v>
      </c>
      <c r="H677" s="561"/>
      <c r="I677" s="563" t="str">
        <f>I579</f>
        <v>علی الحساب</v>
      </c>
    </row>
    <row r="678" spans="1:9" ht="9" customHeight="1">
      <c r="A678" s="615"/>
      <c r="B678" s="585"/>
      <c r="C678" s="54"/>
      <c r="D678" s="54"/>
      <c r="E678" s="54"/>
      <c r="F678" s="54"/>
      <c r="G678" s="560"/>
      <c r="H678" s="562"/>
      <c r="I678" s="564"/>
    </row>
    <row r="679" spans="1:9" ht="9" customHeight="1">
      <c r="A679" s="615"/>
      <c r="B679" s="584" t="str">
        <f>B581</f>
        <v>سقف زیرزمین درZONE Y1</v>
      </c>
      <c r="C679" s="53"/>
      <c r="D679" s="53"/>
      <c r="E679" s="54"/>
      <c r="F679" s="53"/>
      <c r="G679" s="559">
        <v>314.68</v>
      </c>
      <c r="H679" s="561"/>
      <c r="I679" s="563" t="str">
        <f>I581</f>
        <v>صورتجلسه شماره:12</v>
      </c>
    </row>
    <row r="680" spans="1:9" ht="9" customHeight="1">
      <c r="A680" s="615"/>
      <c r="B680" s="585"/>
      <c r="C680" s="54"/>
      <c r="D680" s="54"/>
      <c r="E680" s="54"/>
      <c r="F680" s="54"/>
      <c r="G680" s="560"/>
      <c r="H680" s="562"/>
      <c r="I680" s="564"/>
    </row>
    <row r="681" spans="1:9" ht="9" customHeight="1">
      <c r="A681" s="615"/>
      <c r="B681" s="584" t="str">
        <f>B583</f>
        <v>سقف زیرزمین درZONE Y2</v>
      </c>
      <c r="C681" s="53"/>
      <c r="D681" s="53"/>
      <c r="E681" s="54"/>
      <c r="F681" s="53"/>
      <c r="G681" s="559">
        <v>602.67999999999995</v>
      </c>
      <c r="H681" s="561"/>
      <c r="I681" s="563" t="str">
        <f>I583</f>
        <v>صورتجلسه شماره:13</v>
      </c>
    </row>
    <row r="682" spans="1:9" ht="9" customHeight="1">
      <c r="A682" s="615"/>
      <c r="B682" s="585"/>
      <c r="C682" s="54"/>
      <c r="D682" s="54"/>
      <c r="E682" s="54"/>
      <c r="F682" s="54"/>
      <c r="G682" s="560"/>
      <c r="H682" s="562"/>
      <c r="I682" s="564"/>
    </row>
    <row r="683" spans="1:9" ht="9" customHeight="1">
      <c r="A683" s="615"/>
      <c r="B683" s="584" t="str">
        <f>B585</f>
        <v>سقف زیرزمین درZONE Y3</v>
      </c>
      <c r="C683" s="53"/>
      <c r="D683" s="53"/>
      <c r="E683" s="54"/>
      <c r="F683" s="53"/>
      <c r="G683" s="559">
        <v>536.63</v>
      </c>
      <c r="H683" s="561"/>
      <c r="I683" s="563" t="str">
        <f>I585</f>
        <v>علی الحساب</v>
      </c>
    </row>
    <row r="684" spans="1:9" ht="9" customHeight="1">
      <c r="A684" s="615"/>
      <c r="B684" s="585"/>
      <c r="C684" s="54"/>
      <c r="D684" s="54"/>
      <c r="E684" s="54"/>
      <c r="F684" s="54"/>
      <c r="G684" s="560"/>
      <c r="H684" s="562"/>
      <c r="I684" s="564"/>
    </row>
    <row r="685" spans="1:9" ht="9" customHeight="1">
      <c r="A685" s="615"/>
      <c r="B685" s="584" t="str">
        <f>B603</f>
        <v>عملیات انجام گرفته درتیرهای ZONE Z1</v>
      </c>
      <c r="C685" s="53"/>
      <c r="D685" s="53"/>
      <c r="E685" s="54"/>
      <c r="F685" s="53"/>
      <c r="G685" s="559">
        <v>210</v>
      </c>
      <c r="H685" s="561"/>
      <c r="I685" s="589" t="str">
        <f>I603</f>
        <v>علی الحساب</v>
      </c>
    </row>
    <row r="686" spans="1:9" ht="9" customHeight="1">
      <c r="A686" s="615"/>
      <c r="B686" s="585"/>
      <c r="C686" s="54"/>
      <c r="D686" s="54"/>
      <c r="E686" s="54"/>
      <c r="F686" s="54"/>
      <c r="G686" s="560"/>
      <c r="H686" s="562"/>
      <c r="I686" s="590"/>
    </row>
    <row r="687" spans="1:9" ht="9" customHeight="1">
      <c r="A687" s="615"/>
      <c r="B687" s="584" t="str">
        <f>B605</f>
        <v>عملیات انجام گرفته درتیرهای ZONE Z2</v>
      </c>
      <c r="C687" s="53"/>
      <c r="D687" s="53"/>
      <c r="E687" s="54"/>
      <c r="F687" s="53"/>
      <c r="G687" s="559">
        <v>1116.07</v>
      </c>
      <c r="H687" s="561"/>
      <c r="I687" s="589" t="str">
        <f>I605</f>
        <v>علی الحساب</v>
      </c>
    </row>
    <row r="688" spans="1:9" ht="9" customHeight="1">
      <c r="A688" s="615"/>
      <c r="B688" s="585"/>
      <c r="C688" s="54"/>
      <c r="D688" s="54"/>
      <c r="E688" s="54"/>
      <c r="F688" s="54"/>
      <c r="G688" s="560"/>
      <c r="H688" s="562"/>
      <c r="I688" s="590"/>
    </row>
    <row r="689" spans="1:9" ht="9" customHeight="1">
      <c r="A689" s="615"/>
      <c r="B689" s="584" t="str">
        <f>B607</f>
        <v>عملیات انجام گرفته درتیرهای ZONE Z3</v>
      </c>
      <c r="C689" s="53"/>
      <c r="D689" s="53"/>
      <c r="E689" s="54"/>
      <c r="F689" s="53"/>
      <c r="G689" s="559">
        <v>865.5</v>
      </c>
      <c r="H689" s="561"/>
      <c r="I689" s="589" t="str">
        <f>I607</f>
        <v>علی الحساب</v>
      </c>
    </row>
    <row r="690" spans="1:9" ht="9" customHeight="1">
      <c r="A690" s="615"/>
      <c r="B690" s="585"/>
      <c r="C690" s="54"/>
      <c r="D690" s="54"/>
      <c r="E690" s="54"/>
      <c r="F690" s="54"/>
      <c r="G690" s="560"/>
      <c r="H690" s="562"/>
      <c r="I690" s="590"/>
    </row>
    <row r="691" spans="1:9" ht="9" customHeight="1">
      <c r="A691" s="615"/>
      <c r="B691" s="584" t="str">
        <f>B609</f>
        <v>عملیات انجام گرفته درتیرهای ZONE Z4</v>
      </c>
      <c r="C691" s="53"/>
      <c r="D691" s="53"/>
      <c r="E691" s="54"/>
      <c r="F691" s="53"/>
      <c r="G691" s="559">
        <v>1498.85</v>
      </c>
      <c r="H691" s="561"/>
      <c r="I691" s="589" t="str">
        <f>I609</f>
        <v>علی الحساب</v>
      </c>
    </row>
    <row r="692" spans="1:9" ht="9" customHeight="1">
      <c r="A692" s="615"/>
      <c r="B692" s="585"/>
      <c r="C692" s="54"/>
      <c r="D692" s="54"/>
      <c r="E692" s="54"/>
      <c r="F692" s="54"/>
      <c r="G692" s="560"/>
      <c r="H692" s="562"/>
      <c r="I692" s="590"/>
    </row>
    <row r="693" spans="1:9" ht="9" customHeight="1">
      <c r="A693" s="615"/>
      <c r="B693" s="584" t="str">
        <f>B611</f>
        <v>عملیات انجام گرفته درتیرهای ZONE Z5</v>
      </c>
      <c r="C693" s="53"/>
      <c r="D693" s="53"/>
      <c r="E693" s="54"/>
      <c r="F693" s="53"/>
      <c r="G693" s="559">
        <v>274.93</v>
      </c>
      <c r="H693" s="561"/>
      <c r="I693" s="589" t="str">
        <f>I611</f>
        <v>علی الحساب</v>
      </c>
    </row>
    <row r="694" spans="1:9" ht="9" customHeight="1">
      <c r="A694" s="615"/>
      <c r="B694" s="585"/>
      <c r="C694" s="54"/>
      <c r="D694" s="54"/>
      <c r="E694" s="54"/>
      <c r="F694" s="54"/>
      <c r="G694" s="560"/>
      <c r="H694" s="562"/>
      <c r="I694" s="590"/>
    </row>
    <row r="695" spans="1:9" ht="9" customHeight="1">
      <c r="A695" s="615"/>
      <c r="B695" s="584" t="str">
        <f>B613</f>
        <v>عملیات انجام گرفته درتیرهای ZONE Y1</v>
      </c>
      <c r="C695" s="53"/>
      <c r="D695" s="53"/>
      <c r="E695" s="54"/>
      <c r="F695" s="53"/>
      <c r="G695" s="559">
        <v>349.26</v>
      </c>
      <c r="H695" s="561"/>
      <c r="I695" s="589" t="str">
        <f>I613</f>
        <v>علی الحساب</v>
      </c>
    </row>
    <row r="696" spans="1:9" ht="9" customHeight="1">
      <c r="A696" s="615"/>
      <c r="B696" s="585"/>
      <c r="C696" s="54"/>
      <c r="D696" s="54"/>
      <c r="E696" s="54"/>
      <c r="F696" s="54"/>
      <c r="G696" s="560"/>
      <c r="H696" s="562"/>
      <c r="I696" s="590"/>
    </row>
    <row r="697" spans="1:9" ht="9" customHeight="1">
      <c r="A697" s="615"/>
      <c r="B697" s="584" t="str">
        <f>B615</f>
        <v>عملیات انجام گرفته درتیرهای ZONE Y2</v>
      </c>
      <c r="C697" s="53"/>
      <c r="D697" s="53"/>
      <c r="E697" s="54"/>
      <c r="F697" s="53"/>
      <c r="G697" s="559">
        <v>571.69000000000005</v>
      </c>
      <c r="H697" s="561"/>
      <c r="I697" s="589" t="str">
        <f>I615</f>
        <v>علی الحساب</v>
      </c>
    </row>
    <row r="698" spans="1:9" ht="9" customHeight="1">
      <c r="A698" s="615"/>
      <c r="B698" s="585"/>
      <c r="C698" s="54"/>
      <c r="D698" s="54"/>
      <c r="E698" s="54"/>
      <c r="F698" s="54"/>
      <c r="G698" s="560"/>
      <c r="H698" s="562"/>
      <c r="I698" s="590"/>
    </row>
    <row r="699" spans="1:9" ht="9" customHeight="1">
      <c r="A699" s="615"/>
      <c r="B699" s="584" t="str">
        <f>B633</f>
        <v>عملیات انجام گرفته در سقف دوم ZONE Z1</v>
      </c>
      <c r="C699" s="53"/>
      <c r="D699" s="53"/>
      <c r="E699" s="54"/>
      <c r="F699" s="53"/>
      <c r="G699" s="559">
        <v>108.68</v>
      </c>
      <c r="H699" s="561"/>
      <c r="I699" s="589" t="str">
        <f>I633</f>
        <v>علی الحساب</v>
      </c>
    </row>
    <row r="700" spans="1:9" ht="9" customHeight="1">
      <c r="A700" s="615"/>
      <c r="B700" s="585"/>
      <c r="C700" s="54"/>
      <c r="D700" s="54"/>
      <c r="E700" s="54"/>
      <c r="F700" s="54"/>
      <c r="G700" s="560"/>
      <c r="H700" s="562"/>
      <c r="I700" s="590"/>
    </row>
    <row r="701" spans="1:9" ht="9" customHeight="1">
      <c r="A701" s="615"/>
      <c r="B701" s="584" t="str">
        <f t="shared" ref="B701" si="42">B635</f>
        <v>عملیات انجام گرفته در سقف دوم ZONE Z2</v>
      </c>
      <c r="C701" s="53"/>
      <c r="D701" s="53"/>
      <c r="E701" s="54"/>
      <c r="F701" s="53"/>
      <c r="G701" s="559">
        <v>577.57000000000005</v>
      </c>
      <c r="H701" s="561"/>
      <c r="I701" s="589" t="str">
        <f t="shared" ref="I701" si="43">I635</f>
        <v>علی الحساب</v>
      </c>
    </row>
    <row r="702" spans="1:9" ht="9" customHeight="1">
      <c r="A702" s="615"/>
      <c r="B702" s="585"/>
      <c r="C702" s="54"/>
      <c r="D702" s="54"/>
      <c r="E702" s="54"/>
      <c r="F702" s="54"/>
      <c r="G702" s="560"/>
      <c r="H702" s="562"/>
      <c r="I702" s="590"/>
    </row>
    <row r="703" spans="1:9" ht="9" customHeight="1">
      <c r="A703" s="615"/>
      <c r="B703" s="584" t="str">
        <f t="shared" ref="B703" si="44">B637</f>
        <v>عملیات انجام گرفته در سقف دوم ZONE Z3</v>
      </c>
      <c r="C703" s="53"/>
      <c r="D703" s="53"/>
      <c r="E703" s="54"/>
      <c r="F703" s="53"/>
      <c r="G703" s="559">
        <v>447.9</v>
      </c>
      <c r="H703" s="561"/>
      <c r="I703" s="589" t="str">
        <f t="shared" ref="I703" si="45">I637</f>
        <v>علی الحساب</v>
      </c>
    </row>
    <row r="704" spans="1:9" ht="9" customHeight="1">
      <c r="A704" s="615"/>
      <c r="B704" s="585"/>
      <c r="C704" s="54"/>
      <c r="D704" s="54"/>
      <c r="E704" s="54"/>
      <c r="F704" s="54"/>
      <c r="G704" s="560"/>
      <c r="H704" s="562"/>
      <c r="I704" s="590"/>
    </row>
    <row r="705" spans="1:9" ht="9" customHeight="1">
      <c r="A705" s="615"/>
      <c r="B705" s="584" t="str">
        <f t="shared" ref="B705" si="46">B639</f>
        <v>عملیات انجام گرفته در سقف دوم ZONE Z4</v>
      </c>
      <c r="C705" s="53"/>
      <c r="D705" s="53"/>
      <c r="E705" s="54"/>
      <c r="F705" s="53"/>
      <c r="G705" s="559">
        <v>775.69</v>
      </c>
      <c r="H705" s="561"/>
      <c r="I705" s="589" t="str">
        <f t="shared" ref="I705" si="47">I639</f>
        <v>علی الحساب</v>
      </c>
    </row>
    <row r="706" spans="1:9" ht="9" customHeight="1">
      <c r="A706" s="615"/>
      <c r="B706" s="585"/>
      <c r="C706" s="54"/>
      <c r="D706" s="54"/>
      <c r="E706" s="54"/>
      <c r="F706" s="54"/>
      <c r="G706" s="560"/>
      <c r="H706" s="562"/>
      <c r="I706" s="590"/>
    </row>
    <row r="707" spans="1:9" ht="9" customHeight="1">
      <c r="A707" s="615"/>
      <c r="B707" s="584" t="str">
        <f t="shared" ref="B707" si="48">B641</f>
        <v>عملیات انجام گرفته در سقف دوم ZONE Z5</v>
      </c>
      <c r="C707" s="53"/>
      <c r="D707" s="53"/>
      <c r="E707" s="54"/>
      <c r="F707" s="53"/>
      <c r="G707" s="559">
        <v>142.28</v>
      </c>
      <c r="H707" s="561"/>
      <c r="I707" s="589" t="str">
        <f t="shared" ref="I707" si="49">I641</f>
        <v>علی الحساب</v>
      </c>
    </row>
    <row r="708" spans="1:9" ht="9" customHeight="1">
      <c r="A708" s="615"/>
      <c r="B708" s="585"/>
      <c r="C708" s="54"/>
      <c r="D708" s="54"/>
      <c r="E708" s="54"/>
      <c r="F708" s="54"/>
      <c r="G708" s="560"/>
      <c r="H708" s="562"/>
      <c r="I708" s="590"/>
    </row>
    <row r="709" spans="1:9" ht="9" customHeight="1">
      <c r="A709" s="615"/>
      <c r="B709" s="584" t="str">
        <f t="shared" ref="B709" si="50">B643</f>
        <v>عملیات انجام گرفته در سقف دوم ZONE Y1</v>
      </c>
      <c r="C709" s="53"/>
      <c r="D709" s="53"/>
      <c r="E709" s="54"/>
      <c r="F709" s="53"/>
      <c r="G709" s="559">
        <v>180.75</v>
      </c>
      <c r="H709" s="561"/>
      <c r="I709" s="589" t="str">
        <f t="shared" ref="I709" si="51">I643</f>
        <v>علی الحساب</v>
      </c>
    </row>
    <row r="710" spans="1:9" ht="9" customHeight="1">
      <c r="A710" s="615"/>
      <c r="B710" s="585"/>
      <c r="C710" s="54"/>
      <c r="D710" s="54"/>
      <c r="E710" s="54"/>
      <c r="F710" s="54"/>
      <c r="G710" s="560"/>
      <c r="H710" s="562"/>
      <c r="I710" s="590"/>
    </row>
    <row r="711" spans="1:9" ht="9" customHeight="1">
      <c r="A711" s="615"/>
      <c r="B711" s="584" t="str">
        <f t="shared" ref="B711" si="52">B645</f>
        <v>عملیات انجام گرفته در سقف دوم ZONE Y2</v>
      </c>
      <c r="C711" s="53"/>
      <c r="D711" s="53"/>
      <c r="E711" s="54"/>
      <c r="F711" s="53"/>
      <c r="G711" s="559">
        <v>295.86</v>
      </c>
      <c r="H711" s="561"/>
      <c r="I711" s="589" t="str">
        <f t="shared" ref="I711" si="53">I645</f>
        <v>علی الحساب</v>
      </c>
    </row>
    <row r="712" spans="1:9" ht="9" customHeight="1">
      <c r="A712" s="615"/>
      <c r="B712" s="585"/>
      <c r="C712" s="54"/>
      <c r="D712" s="54"/>
      <c r="E712" s="54"/>
      <c r="F712" s="54"/>
      <c r="G712" s="560"/>
      <c r="H712" s="562"/>
      <c r="I712" s="590"/>
    </row>
    <row r="713" spans="1:9" ht="9" customHeight="1">
      <c r="A713" s="615"/>
      <c r="B713" s="584" t="str">
        <f t="shared" ref="B713" si="54">B647</f>
        <v>عملیات انجام گرفته در سقف دوم ZONE Y3</v>
      </c>
      <c r="C713" s="53"/>
      <c r="D713" s="53"/>
      <c r="E713" s="53"/>
      <c r="F713" s="53"/>
      <c r="G713" s="559">
        <v>433</v>
      </c>
      <c r="H713" s="561"/>
      <c r="I713" s="589" t="str">
        <f t="shared" ref="I713" si="55">I647</f>
        <v>علی الحساب</v>
      </c>
    </row>
    <row r="714" spans="1:9" ht="9" customHeight="1">
      <c r="A714" s="615"/>
      <c r="B714" s="585"/>
      <c r="C714" s="53"/>
      <c r="D714" s="53"/>
      <c r="E714" s="54"/>
      <c r="F714" s="53"/>
      <c r="G714" s="560"/>
      <c r="H714" s="562"/>
      <c r="I714" s="590"/>
    </row>
    <row r="715" spans="1:9" ht="12" customHeight="1">
      <c r="A715" s="616"/>
      <c r="B715" s="565" t="s">
        <v>33</v>
      </c>
      <c r="C715" s="566"/>
      <c r="D715" s="566"/>
      <c r="E715" s="567"/>
      <c r="F715" s="299" t="str">
        <f>A650</f>
        <v>070206</v>
      </c>
      <c r="G715" s="300">
        <f>SUM(G651:G714)*1.3</f>
        <v>56540.042000000009</v>
      </c>
      <c r="H715" s="301">
        <f>SUM(H651:H686)</f>
        <v>0</v>
      </c>
      <c r="I715" s="302" t="str">
        <f>IF(F715="","",VLOOKUP(F715,'ابنیه 95'!$A:$E,3,FALSE))</f>
        <v>کيلوگرم</v>
      </c>
    </row>
    <row r="716" spans="1:9" ht="12" customHeight="1">
      <c r="A716" s="551" t="s">
        <v>168</v>
      </c>
      <c r="B716" s="571" t="str">
        <f>IF(A716="","",VLOOKUP(A716,'ابنیه 95'!$A:$E,2,FALSE))</f>
        <v>اضافه بهاي مصرف ميل گرد، وقتي به صورت خرپا در تيرچه‌هاي پيش ساخته سقف سبك بتني مصرف شود.</v>
      </c>
      <c r="C716" s="572"/>
      <c r="D716" s="572"/>
      <c r="E716" s="572"/>
      <c r="F716" s="572"/>
      <c r="G716" s="572"/>
      <c r="H716" s="572"/>
      <c r="I716" s="573"/>
    </row>
    <row r="717" spans="1:9" ht="10.5" customHeight="1">
      <c r="A717" s="612"/>
      <c r="B717" s="584" t="str">
        <f>B669</f>
        <v xml:space="preserve">سقف زیرزمین درZONE Z1 </v>
      </c>
      <c r="C717" s="53"/>
      <c r="D717" s="53"/>
      <c r="E717" s="53"/>
      <c r="F717" s="53"/>
      <c r="G717" s="559">
        <v>1197.4000000000001</v>
      </c>
      <c r="H717" s="561"/>
      <c r="I717" s="563" t="str">
        <f>I669</f>
        <v>علی الحساب</v>
      </c>
    </row>
    <row r="718" spans="1:9" ht="10.5" customHeight="1">
      <c r="A718" s="612"/>
      <c r="B718" s="585"/>
      <c r="C718" s="53"/>
      <c r="D718" s="53"/>
      <c r="E718" s="54"/>
      <c r="F718" s="53"/>
      <c r="G718" s="560"/>
      <c r="H718" s="562"/>
      <c r="I718" s="564"/>
    </row>
    <row r="719" spans="1:9" ht="10.5" customHeight="1">
      <c r="A719" s="612"/>
      <c r="B719" s="584" t="str">
        <f>B671</f>
        <v>سقف زیرزمین درZONE Z2</v>
      </c>
      <c r="C719" s="53"/>
      <c r="D719" s="53"/>
      <c r="E719" s="53"/>
      <c r="F719" s="53"/>
      <c r="G719" s="559">
        <v>6363.75</v>
      </c>
      <c r="H719" s="561"/>
      <c r="I719" s="563" t="str">
        <f>I671</f>
        <v>علی الحساب</v>
      </c>
    </row>
    <row r="720" spans="1:9" ht="10.5" customHeight="1">
      <c r="A720" s="612"/>
      <c r="B720" s="585"/>
      <c r="C720" s="53"/>
      <c r="D720" s="53"/>
      <c r="E720" s="54"/>
      <c r="F720" s="53"/>
      <c r="G720" s="560"/>
      <c r="H720" s="562"/>
      <c r="I720" s="564"/>
    </row>
    <row r="721" spans="1:9" ht="10.5" customHeight="1">
      <c r="A721" s="612"/>
      <c r="B721" s="584" t="str">
        <f>B673</f>
        <v>سقف زیرزمین درZONE Z3</v>
      </c>
      <c r="C721" s="53"/>
      <c r="D721" s="53"/>
      <c r="E721" s="53"/>
      <c r="F721" s="53"/>
      <c r="G721" s="559">
        <v>4935.01</v>
      </c>
      <c r="H721" s="561"/>
      <c r="I721" s="563" t="str">
        <f>I673</f>
        <v>علی الحساب</v>
      </c>
    </row>
    <row r="722" spans="1:9" ht="10.5" customHeight="1">
      <c r="A722" s="612"/>
      <c r="B722" s="585"/>
      <c r="C722" s="53"/>
      <c r="D722" s="53"/>
      <c r="E722" s="54"/>
      <c r="F722" s="53"/>
      <c r="G722" s="560"/>
      <c r="H722" s="562"/>
      <c r="I722" s="564"/>
    </row>
    <row r="723" spans="1:9" ht="10.5" customHeight="1">
      <c r="A723" s="612"/>
      <c r="B723" s="584" t="str">
        <f>B675</f>
        <v>سقف زیرزمین درZONE Z4</v>
      </c>
      <c r="C723" s="53"/>
      <c r="D723" s="53"/>
      <c r="E723" s="53"/>
      <c r="F723" s="53"/>
      <c r="G723" s="559">
        <v>8546.32</v>
      </c>
      <c r="H723" s="561"/>
      <c r="I723" s="563" t="str">
        <f>I675</f>
        <v>علی الحساب</v>
      </c>
    </row>
    <row r="724" spans="1:9" ht="10.5" customHeight="1">
      <c r="A724" s="612"/>
      <c r="B724" s="585"/>
      <c r="C724" s="53"/>
      <c r="D724" s="53"/>
      <c r="E724" s="54"/>
      <c r="F724" s="53"/>
      <c r="G724" s="560"/>
      <c r="H724" s="562"/>
      <c r="I724" s="564"/>
    </row>
    <row r="725" spans="1:9" ht="10.5" customHeight="1">
      <c r="A725" s="612"/>
      <c r="B725" s="584" t="str">
        <f>B677</f>
        <v>سقف زیرزمین درZONE Z5</v>
      </c>
      <c r="C725" s="53"/>
      <c r="D725" s="53"/>
      <c r="E725" s="53"/>
      <c r="F725" s="53"/>
      <c r="G725" s="559">
        <v>1567.62</v>
      </c>
      <c r="H725" s="561"/>
      <c r="I725" s="563" t="str">
        <f>I677</f>
        <v>علی الحساب</v>
      </c>
    </row>
    <row r="726" spans="1:9" ht="10.5" customHeight="1">
      <c r="A726" s="612"/>
      <c r="B726" s="585"/>
      <c r="C726" s="53"/>
      <c r="D726" s="53"/>
      <c r="E726" s="54"/>
      <c r="F726" s="53"/>
      <c r="G726" s="560"/>
      <c r="H726" s="562"/>
      <c r="I726" s="564"/>
    </row>
    <row r="727" spans="1:9" ht="10.5" customHeight="1">
      <c r="A727" s="612"/>
      <c r="B727" s="584" t="str">
        <f>B679</f>
        <v>سقف زیرزمین درZONE Y1</v>
      </c>
      <c r="C727" s="53"/>
      <c r="D727" s="53"/>
      <c r="E727" s="53"/>
      <c r="F727" s="53"/>
      <c r="G727" s="559">
        <v>749.37</v>
      </c>
      <c r="H727" s="561"/>
      <c r="I727" s="563" t="str">
        <f>I679</f>
        <v>صورتجلسه شماره:12</v>
      </c>
    </row>
    <row r="728" spans="1:9" ht="10.5" customHeight="1">
      <c r="A728" s="612"/>
      <c r="B728" s="585"/>
      <c r="C728" s="53"/>
      <c r="D728" s="53"/>
      <c r="E728" s="54"/>
      <c r="F728" s="53"/>
      <c r="G728" s="560"/>
      <c r="H728" s="562"/>
      <c r="I728" s="564"/>
    </row>
    <row r="729" spans="1:9" ht="10.5" customHeight="1">
      <c r="A729" s="612"/>
      <c r="B729" s="584" t="str">
        <f>B681</f>
        <v>سقف زیرزمین درZONE Y2</v>
      </c>
      <c r="C729" s="53"/>
      <c r="D729" s="53"/>
      <c r="E729" s="53"/>
      <c r="F729" s="53"/>
      <c r="G729" s="559">
        <v>1031.94</v>
      </c>
      <c r="H729" s="561"/>
      <c r="I729" s="563" t="str">
        <f>I681</f>
        <v>صورتجلسه شماره:13</v>
      </c>
    </row>
    <row r="730" spans="1:9" ht="10.5" customHeight="1">
      <c r="A730" s="612"/>
      <c r="B730" s="585"/>
      <c r="C730" s="53"/>
      <c r="D730" s="53"/>
      <c r="E730" s="54"/>
      <c r="F730" s="53"/>
      <c r="G730" s="560"/>
      <c r="H730" s="562"/>
      <c r="I730" s="564"/>
    </row>
    <row r="731" spans="1:9" ht="10.5" customHeight="1">
      <c r="A731" s="612"/>
      <c r="B731" s="584" t="str">
        <f>B683</f>
        <v>سقف زیرزمین درZONE Y3</v>
      </c>
      <c r="C731" s="53"/>
      <c r="D731" s="53"/>
      <c r="E731" s="53"/>
      <c r="F731" s="53"/>
      <c r="G731" s="559">
        <v>4770.6499999999996</v>
      </c>
      <c r="H731" s="561"/>
      <c r="I731" s="563" t="str">
        <f>I683</f>
        <v>علی الحساب</v>
      </c>
    </row>
    <row r="732" spans="1:9" ht="10.5" customHeight="1">
      <c r="A732" s="612"/>
      <c r="B732" s="585"/>
      <c r="C732" s="53"/>
      <c r="D732" s="53"/>
      <c r="E732" s="54"/>
      <c r="F732" s="53"/>
      <c r="G732" s="560"/>
      <c r="H732" s="562"/>
      <c r="I732" s="564"/>
    </row>
    <row r="733" spans="1:9" ht="10.5" customHeight="1">
      <c r="A733" s="612"/>
      <c r="B733" s="584" t="str">
        <f>B699</f>
        <v>عملیات انجام گرفته در سقف دوم ZONE Z1</v>
      </c>
      <c r="C733" s="53"/>
      <c r="D733" s="53"/>
      <c r="E733" s="53"/>
      <c r="F733" s="53"/>
      <c r="G733" s="559">
        <v>418.9</v>
      </c>
      <c r="H733" s="561"/>
      <c r="I733" s="589" t="str">
        <f>I699</f>
        <v>علی الحساب</v>
      </c>
    </row>
    <row r="734" spans="1:9" ht="10.5" customHeight="1">
      <c r="A734" s="612"/>
      <c r="B734" s="585"/>
      <c r="C734" s="53"/>
      <c r="D734" s="53"/>
      <c r="E734" s="54"/>
      <c r="F734" s="53"/>
      <c r="G734" s="560"/>
      <c r="H734" s="562"/>
      <c r="I734" s="590"/>
    </row>
    <row r="735" spans="1:9" ht="10.5" customHeight="1">
      <c r="A735" s="612"/>
      <c r="B735" s="584" t="str">
        <f t="shared" ref="B735" si="56">B701</f>
        <v>عملیات انجام گرفته در سقف دوم ZONE Z2</v>
      </c>
      <c r="C735" s="53"/>
      <c r="D735" s="53"/>
      <c r="E735" s="53"/>
      <c r="F735" s="53"/>
      <c r="G735" s="559">
        <v>2226.31</v>
      </c>
      <c r="H735" s="561"/>
      <c r="I735" s="589" t="str">
        <f t="shared" ref="I735" si="57">I701</f>
        <v>علی الحساب</v>
      </c>
    </row>
    <row r="736" spans="1:9" ht="10.5" customHeight="1">
      <c r="A736" s="612"/>
      <c r="B736" s="585"/>
      <c r="C736" s="53"/>
      <c r="D736" s="53"/>
      <c r="E736" s="54"/>
      <c r="F736" s="53"/>
      <c r="G736" s="560"/>
      <c r="H736" s="562"/>
      <c r="I736" s="590"/>
    </row>
    <row r="737" spans="1:9" ht="10.5" customHeight="1">
      <c r="A737" s="612"/>
      <c r="B737" s="584" t="str">
        <f t="shared" ref="B737" si="58">B703</f>
        <v>عملیات انجام گرفته در سقف دوم ZONE Z3</v>
      </c>
      <c r="C737" s="53"/>
      <c r="D737" s="53"/>
      <c r="E737" s="53"/>
      <c r="F737" s="53"/>
      <c r="G737" s="559">
        <v>1726.47</v>
      </c>
      <c r="H737" s="561"/>
      <c r="I737" s="589" t="str">
        <f t="shared" ref="I737" si="59">I703</f>
        <v>علی الحساب</v>
      </c>
    </row>
    <row r="738" spans="1:9" ht="10.5" customHeight="1">
      <c r="A738" s="612"/>
      <c r="B738" s="585"/>
      <c r="C738" s="53"/>
      <c r="D738" s="53"/>
      <c r="E738" s="54"/>
      <c r="F738" s="53"/>
      <c r="G738" s="560"/>
      <c r="H738" s="562"/>
      <c r="I738" s="590"/>
    </row>
    <row r="739" spans="1:9" ht="10.5" customHeight="1">
      <c r="A739" s="612"/>
      <c r="B739" s="584" t="str">
        <f t="shared" ref="B739" si="60">B705</f>
        <v>عملیات انجام گرفته در سقف دوم ZONE Z4</v>
      </c>
      <c r="C739" s="53"/>
      <c r="D739" s="53"/>
      <c r="E739" s="53"/>
      <c r="F739" s="53"/>
      <c r="G739" s="559">
        <v>2989.86</v>
      </c>
      <c r="H739" s="561"/>
      <c r="I739" s="589" t="str">
        <f t="shared" ref="I739" si="61">I705</f>
        <v>علی الحساب</v>
      </c>
    </row>
    <row r="740" spans="1:9" ht="10.5" customHeight="1">
      <c r="A740" s="612"/>
      <c r="B740" s="585"/>
      <c r="C740" s="53"/>
      <c r="D740" s="53"/>
      <c r="E740" s="54"/>
      <c r="F740" s="53"/>
      <c r="G740" s="560"/>
      <c r="H740" s="562"/>
      <c r="I740" s="590"/>
    </row>
    <row r="741" spans="1:9" ht="10.5" customHeight="1">
      <c r="A741" s="612"/>
      <c r="B741" s="584" t="str">
        <f t="shared" ref="B741" si="62">B707</f>
        <v>عملیات انجام گرفته در سقف دوم ZONE Z5</v>
      </c>
      <c r="C741" s="53"/>
      <c r="D741" s="53"/>
      <c r="E741" s="53"/>
      <c r="F741" s="53"/>
      <c r="G741" s="559">
        <v>548.41999999999996</v>
      </c>
      <c r="H741" s="561"/>
      <c r="I741" s="589" t="str">
        <f t="shared" ref="I741" si="63">I707</f>
        <v>علی الحساب</v>
      </c>
    </row>
    <row r="742" spans="1:9" ht="10.5" customHeight="1">
      <c r="A742" s="612"/>
      <c r="B742" s="585"/>
      <c r="C742" s="53"/>
      <c r="D742" s="53"/>
      <c r="E742" s="54"/>
      <c r="F742" s="53"/>
      <c r="G742" s="560"/>
      <c r="H742" s="562"/>
      <c r="I742" s="590"/>
    </row>
    <row r="743" spans="1:9" ht="10.5" customHeight="1">
      <c r="A743" s="612"/>
      <c r="B743" s="584" t="str">
        <f t="shared" ref="B743" si="64">B709</f>
        <v>عملیات انجام گرفته در سقف دوم ZONE Y1</v>
      </c>
      <c r="C743" s="53"/>
      <c r="D743" s="53"/>
      <c r="E743" s="53"/>
      <c r="F743" s="53"/>
      <c r="G743" s="559">
        <v>696.68</v>
      </c>
      <c r="H743" s="561"/>
      <c r="I743" s="589" t="str">
        <f t="shared" ref="I743" si="65">I709</f>
        <v>علی الحساب</v>
      </c>
    </row>
    <row r="744" spans="1:9" ht="10.5" customHeight="1">
      <c r="A744" s="612"/>
      <c r="B744" s="585"/>
      <c r="C744" s="53"/>
      <c r="D744" s="53"/>
      <c r="E744" s="54"/>
      <c r="F744" s="53"/>
      <c r="G744" s="560"/>
      <c r="H744" s="562"/>
      <c r="I744" s="590"/>
    </row>
    <row r="745" spans="1:9" ht="10.5" customHeight="1">
      <c r="A745" s="612"/>
      <c r="B745" s="584" t="str">
        <f t="shared" ref="B745" si="66">B711</f>
        <v>عملیات انجام گرفته در سقف دوم ZONE Y2</v>
      </c>
      <c r="C745" s="53"/>
      <c r="D745" s="53"/>
      <c r="E745" s="53"/>
      <c r="F745" s="53"/>
      <c r="G745" s="559">
        <v>1140.3900000000001</v>
      </c>
      <c r="H745" s="561"/>
      <c r="I745" s="589" t="str">
        <f t="shared" ref="I745" si="67">I711</f>
        <v>علی الحساب</v>
      </c>
    </row>
    <row r="746" spans="1:9" ht="10.5" customHeight="1">
      <c r="A746" s="612"/>
      <c r="B746" s="585"/>
      <c r="C746" s="53"/>
      <c r="D746" s="53"/>
      <c r="E746" s="54"/>
      <c r="F746" s="53"/>
      <c r="G746" s="560"/>
      <c r="H746" s="562"/>
      <c r="I746" s="590"/>
    </row>
    <row r="747" spans="1:9" ht="10.5" customHeight="1">
      <c r="A747" s="612"/>
      <c r="B747" s="584" t="str">
        <f t="shared" ref="B747" si="68">B713</f>
        <v>عملیات انجام گرفته در سقف دوم ZONE Y3</v>
      </c>
      <c r="C747" s="53"/>
      <c r="D747" s="53"/>
      <c r="E747" s="53"/>
      <c r="F747" s="53"/>
      <c r="G747" s="559">
        <v>1668.97</v>
      </c>
      <c r="H747" s="561"/>
      <c r="I747" s="589" t="str">
        <f t="shared" ref="I747" si="69">I713</f>
        <v>علی الحساب</v>
      </c>
    </row>
    <row r="748" spans="1:9" ht="10.5" customHeight="1">
      <c r="A748" s="612"/>
      <c r="B748" s="585"/>
      <c r="C748" s="53"/>
      <c r="D748" s="53"/>
      <c r="E748" s="54"/>
      <c r="F748" s="53"/>
      <c r="G748" s="560"/>
      <c r="H748" s="562"/>
      <c r="I748" s="590"/>
    </row>
    <row r="749" spans="1:9" ht="12" customHeight="1">
      <c r="A749" s="613"/>
      <c r="B749" s="565" t="s">
        <v>33</v>
      </c>
      <c r="C749" s="566"/>
      <c r="D749" s="566"/>
      <c r="E749" s="567"/>
      <c r="F749" s="299" t="str">
        <f>A716</f>
        <v>070301</v>
      </c>
      <c r="G749" s="300">
        <f>SUM(G717:G748)</f>
        <v>40578.06</v>
      </c>
      <c r="H749" s="301">
        <f>SUM(H717:H718)</f>
        <v>0</v>
      </c>
      <c r="I749" s="302" t="str">
        <f>IF(F749="","",VLOOKUP(F749,'ابنیه 95'!$A:$E,3,FALSE))</f>
        <v>کيلوگرم</v>
      </c>
    </row>
    <row r="750" spans="1:9" ht="12" customHeight="1">
      <c r="A750" s="551" t="s">
        <v>714</v>
      </c>
      <c r="B750" s="571" t="str">
        <f>IF(A750="","",VLOOKUP(A750,'ابنیه 95'!$A:$E,2,FALSE))</f>
        <v>اضافه بها به رديف‌هاي ميل‌گرد، چنانچه عمليات پايين تراز آب‌هاي زيرزميني انجام شود و آبكشي با تلمبه موتوري در حين اجراي كار ضروري باشد.</v>
      </c>
      <c r="C750" s="572"/>
      <c r="D750" s="572"/>
      <c r="E750" s="572"/>
      <c r="F750" s="572"/>
      <c r="G750" s="572"/>
      <c r="H750" s="572"/>
      <c r="I750" s="573"/>
    </row>
    <row r="751" spans="1:9" ht="10.5" customHeight="1">
      <c r="A751" s="612"/>
      <c r="B751" s="584" t="str">
        <f>B651</f>
        <v xml:space="preserve">فونداسیون  ZONE Z1 </v>
      </c>
      <c r="C751" s="53"/>
      <c r="D751" s="53"/>
      <c r="E751" s="53"/>
      <c r="F751" s="53"/>
      <c r="G751" s="610">
        <v>2506.8000000000002</v>
      </c>
      <c r="H751" s="561"/>
      <c r="I751" s="563" t="str">
        <f>I651</f>
        <v>صورتجلسه شماره: 3</v>
      </c>
    </row>
    <row r="752" spans="1:9" ht="10.5" customHeight="1">
      <c r="A752" s="612"/>
      <c r="B752" s="585"/>
      <c r="C752" s="53"/>
      <c r="D752" s="53"/>
      <c r="E752" s="54"/>
      <c r="F752" s="53"/>
      <c r="G752" s="611"/>
      <c r="H752" s="562"/>
      <c r="I752" s="564"/>
    </row>
    <row r="753" spans="1:9" ht="10.5" customHeight="1">
      <c r="A753" s="612"/>
      <c r="B753" s="584" t="str">
        <f>B653</f>
        <v>فونداسیون  ZONE Z2</v>
      </c>
      <c r="C753" s="53"/>
      <c r="D753" s="53"/>
      <c r="E753" s="53"/>
      <c r="F753" s="53"/>
      <c r="G753" s="610">
        <v>9555.7199999999993</v>
      </c>
      <c r="H753" s="561"/>
      <c r="I753" s="563" t="str">
        <f>I653</f>
        <v>صورتجلسه شماره: 4</v>
      </c>
    </row>
    <row r="754" spans="1:9" ht="10.5" customHeight="1">
      <c r="A754" s="612"/>
      <c r="B754" s="585"/>
      <c r="C754" s="53"/>
      <c r="D754" s="53"/>
      <c r="E754" s="54"/>
      <c r="F754" s="53"/>
      <c r="G754" s="611"/>
      <c r="H754" s="562"/>
      <c r="I754" s="564"/>
    </row>
    <row r="755" spans="1:9" ht="10.5" customHeight="1">
      <c r="A755" s="612"/>
      <c r="B755" s="584" t="str">
        <f>B655</f>
        <v>فونداسیون  ZONE Z3</v>
      </c>
      <c r="C755" s="53"/>
      <c r="D755" s="53"/>
      <c r="E755" s="53"/>
      <c r="F755" s="53"/>
      <c r="G755" s="610">
        <v>8817.67</v>
      </c>
      <c r="H755" s="561"/>
      <c r="I755" s="563" t="str">
        <f>I655</f>
        <v>صورتجلسه شماره: 5</v>
      </c>
    </row>
    <row r="756" spans="1:9" ht="10.5" customHeight="1">
      <c r="A756" s="612"/>
      <c r="B756" s="585"/>
      <c r="C756" s="53"/>
      <c r="D756" s="53"/>
      <c r="E756" s="54"/>
      <c r="F756" s="53"/>
      <c r="G756" s="611"/>
      <c r="H756" s="562"/>
      <c r="I756" s="564"/>
    </row>
    <row r="757" spans="1:9" ht="10.5" customHeight="1">
      <c r="A757" s="612"/>
      <c r="B757" s="584" t="str">
        <f>B657</f>
        <v>فونداسیون  ZONE Z4</v>
      </c>
      <c r="C757" s="53"/>
      <c r="D757" s="53"/>
      <c r="E757" s="53"/>
      <c r="F757" s="53"/>
      <c r="G757" s="610">
        <v>13097.91</v>
      </c>
      <c r="H757" s="561"/>
      <c r="I757" s="563" t="str">
        <f>I657</f>
        <v>صورتجلسه شماره: 6</v>
      </c>
    </row>
    <row r="758" spans="1:9" ht="10.5" customHeight="1">
      <c r="A758" s="612"/>
      <c r="B758" s="585"/>
      <c r="C758" s="53"/>
      <c r="D758" s="53"/>
      <c r="E758" s="54"/>
      <c r="F758" s="53"/>
      <c r="G758" s="611"/>
      <c r="H758" s="562"/>
      <c r="I758" s="564"/>
    </row>
    <row r="759" spans="1:9" ht="10.5" customHeight="1">
      <c r="A759" s="612"/>
      <c r="B759" s="584" t="str">
        <f>B659</f>
        <v>فونداسیون  ZONE Z5</v>
      </c>
      <c r="C759" s="53"/>
      <c r="D759" s="53"/>
      <c r="E759" s="53"/>
      <c r="F759" s="53"/>
      <c r="G759" s="610">
        <v>3255.04</v>
      </c>
      <c r="H759" s="561"/>
      <c r="I759" s="563" t="str">
        <f>I659</f>
        <v>صورتجلسه شماره: 7</v>
      </c>
    </row>
    <row r="760" spans="1:9" ht="10.5" customHeight="1">
      <c r="A760" s="612"/>
      <c r="B760" s="585"/>
      <c r="C760" s="53"/>
      <c r="D760" s="53"/>
      <c r="E760" s="54"/>
      <c r="F760" s="53"/>
      <c r="G760" s="611"/>
      <c r="H760" s="562"/>
      <c r="I760" s="564"/>
    </row>
    <row r="761" spans="1:9" ht="10.5" customHeight="1">
      <c r="A761" s="612"/>
      <c r="B761" s="584" t="str">
        <f>B661</f>
        <v>فونداسیون  ZONE Y1</v>
      </c>
      <c r="C761" s="53"/>
      <c r="D761" s="53"/>
      <c r="E761" s="53"/>
      <c r="F761" s="53"/>
      <c r="G761" s="610">
        <v>3707.45</v>
      </c>
      <c r="H761" s="561"/>
      <c r="I761" s="563" t="str">
        <f>I661</f>
        <v>صورتجلسه شماره: 8</v>
      </c>
    </row>
    <row r="762" spans="1:9" ht="10.5" customHeight="1">
      <c r="A762" s="612"/>
      <c r="B762" s="585"/>
      <c r="C762" s="53"/>
      <c r="D762" s="53"/>
      <c r="E762" s="54"/>
      <c r="F762" s="53"/>
      <c r="G762" s="611"/>
      <c r="H762" s="562"/>
      <c r="I762" s="564"/>
    </row>
    <row r="763" spans="1:9" ht="10.5" customHeight="1">
      <c r="A763" s="612"/>
      <c r="B763" s="584" t="str">
        <f>B663</f>
        <v>فونداسیون  ZONE Y2</v>
      </c>
      <c r="C763" s="53"/>
      <c r="D763" s="53"/>
      <c r="E763" s="53"/>
      <c r="F763" s="53"/>
      <c r="G763" s="610">
        <v>5755.63</v>
      </c>
      <c r="H763" s="561"/>
      <c r="I763" s="563" t="str">
        <f>I663</f>
        <v>صورتجلسه شماره: 9</v>
      </c>
    </row>
    <row r="764" spans="1:9" ht="10.5" customHeight="1">
      <c r="A764" s="612"/>
      <c r="B764" s="585"/>
      <c r="C764" s="53"/>
      <c r="D764" s="53"/>
      <c r="E764" s="54"/>
      <c r="F764" s="53"/>
      <c r="G764" s="611"/>
      <c r="H764" s="562"/>
      <c r="I764" s="564"/>
    </row>
    <row r="765" spans="1:9" ht="10.5" customHeight="1">
      <c r="A765" s="612"/>
      <c r="B765" s="584" t="str">
        <f>B665</f>
        <v>فونداسیون  ZONE Y3</v>
      </c>
      <c r="C765" s="53"/>
      <c r="D765" s="53"/>
      <c r="E765" s="53"/>
      <c r="F765" s="53"/>
      <c r="G765" s="610">
        <v>7293.66</v>
      </c>
      <c r="H765" s="561"/>
      <c r="I765" s="563" t="str">
        <f>I665</f>
        <v>صورتجلسه شماره: 10</v>
      </c>
    </row>
    <row r="766" spans="1:9" ht="10.5" customHeight="1">
      <c r="A766" s="612"/>
      <c r="B766" s="585"/>
      <c r="C766" s="53"/>
      <c r="D766" s="53"/>
      <c r="E766" s="54"/>
      <c r="F766" s="53"/>
      <c r="G766" s="611"/>
      <c r="H766" s="562"/>
      <c r="I766" s="564"/>
    </row>
    <row r="767" spans="1:9" ht="12" customHeight="1">
      <c r="A767" s="613"/>
      <c r="B767" s="565" t="s">
        <v>33</v>
      </c>
      <c r="C767" s="566"/>
      <c r="D767" s="566"/>
      <c r="E767" s="567"/>
      <c r="F767" s="299" t="str">
        <f>A750</f>
        <v>070501</v>
      </c>
      <c r="G767" s="307">
        <f>SUM(G751:G766)</f>
        <v>53989.880000000005</v>
      </c>
      <c r="H767" s="301">
        <f>SUM(H751:H752)</f>
        <v>0</v>
      </c>
      <c r="I767" s="302" t="str">
        <f>IF(F767="","",VLOOKUP(F767,'ابنیه 95'!$A:$E,3,FALSE))</f>
        <v>کيلوگرم</v>
      </c>
    </row>
    <row r="768" spans="1:9" ht="12" customHeight="1">
      <c r="A768" s="586" t="s">
        <v>127</v>
      </c>
      <c r="B768" s="587"/>
      <c r="C768" s="587"/>
      <c r="D768" s="587"/>
      <c r="E768" s="587"/>
      <c r="F768" s="587"/>
      <c r="G768" s="587"/>
      <c r="H768" s="587"/>
      <c r="I768" s="588"/>
    </row>
    <row r="769" spans="1:9" ht="12" customHeight="1">
      <c r="A769" s="551" t="s">
        <v>108</v>
      </c>
      <c r="B769" s="571" t="str">
        <f>IF(A769="","",VLOOKUP(A769,'ابنیه 95'!$A:$E,2,FALSE))</f>
        <v>تهيه و اجراي بتن با شن و ماسه شسته طبيعي يا شكسته، با 150 كيلو گرم سيمان در متر مكعب بتن.</v>
      </c>
      <c r="C769" s="572"/>
      <c r="D769" s="572"/>
      <c r="E769" s="572"/>
      <c r="F769" s="572"/>
      <c r="G769" s="572"/>
      <c r="H769" s="572"/>
      <c r="I769" s="573"/>
    </row>
    <row r="770" spans="1:9" ht="10.5" customHeight="1">
      <c r="A770" s="612"/>
      <c r="B770" s="584" t="s">
        <v>1770</v>
      </c>
      <c r="C770" s="53"/>
      <c r="D770" s="53"/>
      <c r="E770" s="53"/>
      <c r="F770" s="53"/>
      <c r="G770" s="559">
        <v>91.26</v>
      </c>
      <c r="H770" s="561"/>
      <c r="I770" s="563" t="str">
        <f>I334</f>
        <v>صورتجلسه شماره: 2</v>
      </c>
    </row>
    <row r="771" spans="1:9" ht="10.5" customHeight="1">
      <c r="A771" s="612"/>
      <c r="B771" s="585"/>
      <c r="C771" s="53"/>
      <c r="D771" s="53"/>
      <c r="E771" s="54"/>
      <c r="F771" s="53"/>
      <c r="G771" s="560"/>
      <c r="H771" s="562"/>
      <c r="I771" s="564"/>
    </row>
    <row r="772" spans="1:9" ht="12" customHeight="1">
      <c r="A772" s="613"/>
      <c r="B772" s="565" t="s">
        <v>33</v>
      </c>
      <c r="C772" s="566"/>
      <c r="D772" s="566"/>
      <c r="E772" s="567"/>
      <c r="F772" s="299" t="str">
        <f>A769</f>
        <v>080102</v>
      </c>
      <c r="G772" s="300">
        <f>SUM(G770:G771)</f>
        <v>91.26</v>
      </c>
      <c r="H772" s="301">
        <f>SUM(H770:H771)</f>
        <v>0</v>
      </c>
      <c r="I772" s="302" t="str">
        <f>IF(F772="","",VLOOKUP(F772,'ابنیه 95'!$A:$E,3,FALSE))</f>
        <v>مترمکعب</v>
      </c>
    </row>
    <row r="773" spans="1:9" ht="12" customHeight="1">
      <c r="A773" s="551" t="s">
        <v>743</v>
      </c>
      <c r="B773" s="571" t="str">
        <f>IF(A773="","",VLOOKUP(A773,'ابنیه 95'!$A:$E,2,FALSE))</f>
        <v>تهيه و اجراي بتن با شن و ماسه شسته طبيعي يا شکسته با مقاومت فشاري مشخصه 12 مگاپاسكال.</v>
      </c>
      <c r="C773" s="572"/>
      <c r="D773" s="572"/>
      <c r="E773" s="572"/>
      <c r="F773" s="572"/>
      <c r="G773" s="572"/>
      <c r="H773" s="572"/>
      <c r="I773" s="573"/>
    </row>
    <row r="774" spans="1:9" ht="10.5" customHeight="1">
      <c r="A774" s="612"/>
      <c r="B774" s="584" t="str">
        <f>B118</f>
        <v>عملیات انجام گرفته در زیرزمین ZONE Z1</v>
      </c>
      <c r="C774" s="53"/>
      <c r="D774" s="53"/>
      <c r="E774" s="53"/>
      <c r="F774" s="53"/>
      <c r="G774" s="559">
        <v>8.67</v>
      </c>
      <c r="H774" s="561"/>
      <c r="I774" s="589" t="str">
        <f>I118</f>
        <v>علی الحساب</v>
      </c>
    </row>
    <row r="775" spans="1:9" ht="10.5" customHeight="1">
      <c r="A775" s="612"/>
      <c r="B775" s="585"/>
      <c r="C775" s="53"/>
      <c r="D775" s="53"/>
      <c r="E775" s="54"/>
      <c r="F775" s="53"/>
      <c r="G775" s="560"/>
      <c r="H775" s="562"/>
      <c r="I775" s="590"/>
    </row>
    <row r="776" spans="1:9" ht="10.5" customHeight="1">
      <c r="A776" s="612"/>
      <c r="B776" s="584" t="str">
        <f>B120</f>
        <v>عملیات انجام گرفته در زیرزمین ZONE Z2</v>
      </c>
      <c r="C776" s="53"/>
      <c r="D776" s="53"/>
      <c r="E776" s="53"/>
      <c r="F776" s="53"/>
      <c r="G776" s="559">
        <v>46.1</v>
      </c>
      <c r="H776" s="561"/>
      <c r="I776" s="589" t="str">
        <f>I120</f>
        <v>علی الحساب</v>
      </c>
    </row>
    <row r="777" spans="1:9" ht="10.5" customHeight="1">
      <c r="A777" s="612"/>
      <c r="B777" s="585"/>
      <c r="C777" s="53"/>
      <c r="D777" s="53"/>
      <c r="E777" s="54"/>
      <c r="F777" s="53"/>
      <c r="G777" s="560"/>
      <c r="H777" s="562"/>
      <c r="I777" s="590"/>
    </row>
    <row r="778" spans="1:9" ht="10.5" customHeight="1">
      <c r="A778" s="612"/>
      <c r="B778" s="584" t="str">
        <f>B122</f>
        <v>عملیات انجام گرفته در زیرزمین ZONE Z3</v>
      </c>
      <c r="C778" s="53"/>
      <c r="D778" s="53"/>
      <c r="E778" s="53"/>
      <c r="F778" s="53"/>
      <c r="G778" s="559">
        <v>35.75</v>
      </c>
      <c r="H778" s="561"/>
      <c r="I778" s="589" t="str">
        <f>I122</f>
        <v>علی الحساب</v>
      </c>
    </row>
    <row r="779" spans="1:9" ht="10.5" customHeight="1">
      <c r="A779" s="612"/>
      <c r="B779" s="585"/>
      <c r="C779" s="53"/>
      <c r="D779" s="53"/>
      <c r="E779" s="54"/>
      <c r="F779" s="53"/>
      <c r="G779" s="560"/>
      <c r="H779" s="562"/>
      <c r="I779" s="590"/>
    </row>
    <row r="780" spans="1:9" ht="10.5" customHeight="1">
      <c r="A780" s="612"/>
      <c r="B780" s="584" t="str">
        <f>B124</f>
        <v>عملیات انجام گرفته در زیرزمین ZONE Z4</v>
      </c>
      <c r="C780" s="53"/>
      <c r="D780" s="53"/>
      <c r="E780" s="53"/>
      <c r="F780" s="53"/>
      <c r="G780" s="559">
        <v>61.91</v>
      </c>
      <c r="H780" s="561"/>
      <c r="I780" s="589" t="str">
        <f>I124</f>
        <v>علی الحساب</v>
      </c>
    </row>
    <row r="781" spans="1:9" ht="10.5" customHeight="1">
      <c r="A781" s="612"/>
      <c r="B781" s="585"/>
      <c r="C781" s="53"/>
      <c r="D781" s="53"/>
      <c r="E781" s="54"/>
      <c r="F781" s="53"/>
      <c r="G781" s="560"/>
      <c r="H781" s="562"/>
      <c r="I781" s="590"/>
    </row>
    <row r="782" spans="1:9" ht="10.5" customHeight="1">
      <c r="A782" s="612"/>
      <c r="B782" s="584" t="str">
        <f>B126</f>
        <v>عملیات انجام گرفته در زیرزمین ZONE Z5</v>
      </c>
      <c r="C782" s="53"/>
      <c r="D782" s="53"/>
      <c r="E782" s="53"/>
      <c r="F782" s="53"/>
      <c r="G782" s="559">
        <v>11.36</v>
      </c>
      <c r="H782" s="561"/>
      <c r="I782" s="589" t="str">
        <f>I126</f>
        <v>علی الحساب</v>
      </c>
    </row>
    <row r="783" spans="1:9" ht="10.5" customHeight="1">
      <c r="A783" s="612"/>
      <c r="B783" s="585"/>
      <c r="C783" s="53"/>
      <c r="D783" s="53"/>
      <c r="E783" s="54"/>
      <c r="F783" s="53"/>
      <c r="G783" s="560"/>
      <c r="H783" s="562"/>
      <c r="I783" s="590"/>
    </row>
    <row r="784" spans="1:9" ht="10.5" customHeight="1">
      <c r="A784" s="612"/>
      <c r="B784" s="584" t="str">
        <f>B128</f>
        <v>عملیات انجام گرفته در زیرزمین ZONE Y1</v>
      </c>
      <c r="C784" s="53"/>
      <c r="D784" s="53"/>
      <c r="E784" s="53"/>
      <c r="F784" s="53"/>
      <c r="G784" s="559">
        <v>14.43</v>
      </c>
      <c r="H784" s="561"/>
      <c r="I784" s="589" t="str">
        <f>I128</f>
        <v>علی الحساب</v>
      </c>
    </row>
    <row r="785" spans="1:9" ht="10.5" customHeight="1">
      <c r="A785" s="612"/>
      <c r="B785" s="585"/>
      <c r="C785" s="53"/>
      <c r="D785" s="53"/>
      <c r="E785" s="54"/>
      <c r="F785" s="53"/>
      <c r="G785" s="560"/>
      <c r="H785" s="562"/>
      <c r="I785" s="590"/>
    </row>
    <row r="786" spans="1:9" ht="10.5" customHeight="1">
      <c r="A786" s="612"/>
      <c r="B786" s="584" t="str">
        <f>B130</f>
        <v>عملیات انجام گرفته در زیرزمین ZONE Y2</v>
      </c>
      <c r="C786" s="53"/>
      <c r="D786" s="53"/>
      <c r="E786" s="53"/>
      <c r="F786" s="53"/>
      <c r="G786" s="559">
        <v>15</v>
      </c>
      <c r="H786" s="561"/>
      <c r="I786" s="589" t="str">
        <f>I130</f>
        <v>علی الحساب</v>
      </c>
    </row>
    <row r="787" spans="1:9" ht="10.5" customHeight="1">
      <c r="A787" s="612"/>
      <c r="B787" s="585"/>
      <c r="C787" s="53"/>
      <c r="D787" s="53"/>
      <c r="E787" s="54"/>
      <c r="F787" s="53"/>
      <c r="G787" s="560"/>
      <c r="H787" s="562"/>
      <c r="I787" s="590"/>
    </row>
    <row r="788" spans="1:9" ht="10.5" customHeight="1">
      <c r="A788" s="612"/>
      <c r="B788" s="584" t="str">
        <f>B132</f>
        <v>عملیات انجام گرفته در زیرزمین ZONE Y3</v>
      </c>
      <c r="C788" s="53"/>
      <c r="D788" s="53"/>
      <c r="E788" s="53"/>
      <c r="F788" s="53"/>
      <c r="G788" s="559">
        <v>12</v>
      </c>
      <c r="H788" s="561"/>
      <c r="I788" s="589" t="str">
        <f>I132</f>
        <v>علی الحساب</v>
      </c>
    </row>
    <row r="789" spans="1:9" ht="10.5" customHeight="1">
      <c r="A789" s="612"/>
      <c r="B789" s="585"/>
      <c r="C789" s="53"/>
      <c r="D789" s="53"/>
      <c r="E789" s="54"/>
      <c r="F789" s="53"/>
      <c r="G789" s="560"/>
      <c r="H789" s="562"/>
      <c r="I789" s="590"/>
    </row>
    <row r="790" spans="1:9" ht="9.75" customHeight="1">
      <c r="A790" s="612"/>
      <c r="B790" s="584" t="s">
        <v>3050</v>
      </c>
      <c r="C790" s="53"/>
      <c r="D790" s="53"/>
      <c r="E790" s="53"/>
      <c r="F790" s="53"/>
      <c r="G790" s="559">
        <v>5.7</v>
      </c>
      <c r="H790" s="561"/>
      <c r="I790" s="589" t="s">
        <v>65</v>
      </c>
    </row>
    <row r="791" spans="1:9" ht="10.5" customHeight="1">
      <c r="A791" s="612"/>
      <c r="B791" s="585"/>
      <c r="C791" s="53"/>
      <c r="D791" s="53"/>
      <c r="E791" s="54"/>
      <c r="F791" s="53"/>
      <c r="G791" s="560"/>
      <c r="H791" s="562"/>
      <c r="I791" s="590"/>
    </row>
    <row r="792" spans="1:9" ht="10.5" customHeight="1">
      <c r="A792" s="612"/>
      <c r="B792" s="584" t="s">
        <v>3059</v>
      </c>
      <c r="C792" s="53"/>
      <c r="D792" s="53"/>
      <c r="E792" s="53"/>
      <c r="F792" s="53"/>
      <c r="G792" s="559">
        <v>30.29</v>
      </c>
      <c r="H792" s="561"/>
      <c r="I792" s="589" t="s">
        <v>65</v>
      </c>
    </row>
    <row r="793" spans="1:9" ht="10.5" customHeight="1">
      <c r="A793" s="612"/>
      <c r="B793" s="585"/>
      <c r="C793" s="53"/>
      <c r="D793" s="53"/>
      <c r="E793" s="54"/>
      <c r="F793" s="53"/>
      <c r="G793" s="560"/>
      <c r="H793" s="562"/>
      <c r="I793" s="590"/>
    </row>
    <row r="794" spans="1:9" ht="10.5" customHeight="1">
      <c r="A794" s="612"/>
      <c r="B794" s="584" t="s">
        <v>3060</v>
      </c>
      <c r="C794" s="53"/>
      <c r="D794" s="53"/>
      <c r="E794" s="53"/>
      <c r="F794" s="53"/>
      <c r="G794" s="559">
        <v>23.49</v>
      </c>
      <c r="H794" s="561"/>
      <c r="I794" s="589" t="s">
        <v>65</v>
      </c>
    </row>
    <row r="795" spans="1:9" ht="10.5" customHeight="1">
      <c r="A795" s="612"/>
      <c r="B795" s="585"/>
      <c r="C795" s="53"/>
      <c r="D795" s="53"/>
      <c r="E795" s="54"/>
      <c r="F795" s="53"/>
      <c r="G795" s="560"/>
      <c r="H795" s="562"/>
      <c r="I795" s="590"/>
    </row>
    <row r="796" spans="1:9" ht="9.75" customHeight="1">
      <c r="A796" s="612"/>
      <c r="B796" s="584" t="s">
        <v>3088</v>
      </c>
      <c r="C796" s="53"/>
      <c r="D796" s="53"/>
      <c r="E796" s="53"/>
      <c r="F796" s="53"/>
      <c r="G796" s="559">
        <v>40.68</v>
      </c>
      <c r="H796" s="561"/>
      <c r="I796" s="589" t="s">
        <v>65</v>
      </c>
    </row>
    <row r="797" spans="1:9" ht="10.5" customHeight="1">
      <c r="A797" s="612"/>
      <c r="B797" s="585"/>
      <c r="C797" s="53"/>
      <c r="D797" s="53"/>
      <c r="E797" s="54"/>
      <c r="F797" s="53"/>
      <c r="G797" s="560"/>
      <c r="H797" s="562"/>
      <c r="I797" s="590"/>
    </row>
    <row r="798" spans="1:9" ht="10.5" customHeight="1">
      <c r="A798" s="612"/>
      <c r="B798" s="584" t="s">
        <v>3089</v>
      </c>
      <c r="C798" s="53"/>
      <c r="D798" s="53"/>
      <c r="E798" s="53"/>
      <c r="F798" s="53"/>
      <c r="G798" s="559">
        <v>7.46</v>
      </c>
      <c r="H798" s="561"/>
      <c r="I798" s="589" t="s">
        <v>65</v>
      </c>
    </row>
    <row r="799" spans="1:9" ht="10.5" customHeight="1">
      <c r="A799" s="612"/>
      <c r="B799" s="585"/>
      <c r="C799" s="53"/>
      <c r="D799" s="53"/>
      <c r="E799" s="54"/>
      <c r="F799" s="53"/>
      <c r="G799" s="560"/>
      <c r="H799" s="562"/>
      <c r="I799" s="590"/>
    </row>
    <row r="800" spans="1:9" ht="10.5" customHeight="1">
      <c r="A800" s="612"/>
      <c r="B800" s="584" t="s">
        <v>3090</v>
      </c>
      <c r="C800" s="53"/>
      <c r="D800" s="53"/>
      <c r="E800" s="53"/>
      <c r="F800" s="53"/>
      <c r="G800" s="559">
        <v>9.48</v>
      </c>
      <c r="H800" s="561"/>
      <c r="I800" s="589" t="s">
        <v>65</v>
      </c>
    </row>
    <row r="801" spans="1:9" ht="10.5" customHeight="1">
      <c r="A801" s="612"/>
      <c r="B801" s="585"/>
      <c r="C801" s="53"/>
      <c r="D801" s="53"/>
      <c r="E801" s="54"/>
      <c r="F801" s="53"/>
      <c r="G801" s="560"/>
      <c r="H801" s="562"/>
      <c r="I801" s="590"/>
    </row>
    <row r="802" spans="1:9" ht="10.5" customHeight="1">
      <c r="A802" s="612"/>
      <c r="B802" s="584" t="s">
        <v>3091</v>
      </c>
      <c r="C802" s="53"/>
      <c r="D802" s="53"/>
      <c r="E802" s="53"/>
      <c r="F802" s="53"/>
      <c r="G802" s="559">
        <v>15.52</v>
      </c>
      <c r="H802" s="561"/>
      <c r="I802" s="589" t="s">
        <v>65</v>
      </c>
    </row>
    <row r="803" spans="1:9" ht="10.5" customHeight="1">
      <c r="A803" s="612"/>
      <c r="B803" s="585"/>
      <c r="C803" s="53"/>
      <c r="D803" s="53"/>
      <c r="E803" s="54"/>
      <c r="F803" s="53"/>
      <c r="G803" s="560"/>
      <c r="H803" s="562"/>
      <c r="I803" s="590"/>
    </row>
    <row r="804" spans="1:9" ht="10.5" customHeight="1">
      <c r="A804" s="612"/>
      <c r="B804" s="584" t="s">
        <v>3092</v>
      </c>
      <c r="C804" s="53"/>
      <c r="D804" s="53"/>
      <c r="E804" s="53"/>
      <c r="F804" s="53"/>
      <c r="G804" s="559">
        <v>22.71</v>
      </c>
      <c r="H804" s="561"/>
      <c r="I804" s="589" t="s">
        <v>65</v>
      </c>
    </row>
    <row r="805" spans="1:9" ht="10.5" customHeight="1">
      <c r="A805" s="612"/>
      <c r="B805" s="585"/>
      <c r="C805" s="53"/>
      <c r="D805" s="53"/>
      <c r="E805" s="54"/>
      <c r="F805" s="53"/>
      <c r="G805" s="560"/>
      <c r="H805" s="562"/>
      <c r="I805" s="590"/>
    </row>
    <row r="806" spans="1:9" ht="12" customHeight="1">
      <c r="A806" s="613"/>
      <c r="B806" s="565" t="s">
        <v>33</v>
      </c>
      <c r="C806" s="566"/>
      <c r="D806" s="566"/>
      <c r="E806" s="567"/>
      <c r="F806" s="299" t="str">
        <f>A773</f>
        <v>080103</v>
      </c>
      <c r="G806" s="300">
        <f>SUM(G774:G805)</f>
        <v>360.54999999999995</v>
      </c>
      <c r="H806" s="301">
        <f>SUM(H774:H775)</f>
        <v>0</v>
      </c>
      <c r="I806" s="302" t="str">
        <f>IF(F806="","",VLOOKUP(F806,'ابنیه 95'!$A:$E,3,FALSE))</f>
        <v>مترمکعب</v>
      </c>
    </row>
    <row r="807" spans="1:9" ht="12" customHeight="1">
      <c r="A807" s="614" t="s">
        <v>112</v>
      </c>
      <c r="B807" s="571" t="str">
        <f>IF(A807="","",VLOOKUP(A807,'ابنیه 95'!$A:$E,2,FALSE))</f>
        <v>تهيه و اجراي بتن با شن و ماسه شسته طبيعي يا شکسته با مقاومت فشاري مشخصه 25 مگاپاسكال.</v>
      </c>
      <c r="C807" s="572"/>
      <c r="D807" s="572"/>
      <c r="E807" s="572"/>
      <c r="F807" s="572"/>
      <c r="G807" s="572"/>
      <c r="H807" s="572"/>
      <c r="I807" s="573"/>
    </row>
    <row r="808" spans="1:9" ht="12" customHeight="1">
      <c r="A808" s="615"/>
      <c r="B808" s="584" t="str">
        <f>B751</f>
        <v xml:space="preserve">فونداسیون  ZONE Z1 </v>
      </c>
      <c r="C808" s="53"/>
      <c r="D808" s="53"/>
      <c r="E808" s="53"/>
      <c r="F808" s="53"/>
      <c r="G808" s="559">
        <v>20.41</v>
      </c>
      <c r="H808" s="561"/>
      <c r="I808" s="563" t="str">
        <f>I751</f>
        <v>صورتجلسه شماره: 3</v>
      </c>
    </row>
    <row r="809" spans="1:9" ht="12" customHeight="1">
      <c r="A809" s="615"/>
      <c r="B809" s="585"/>
      <c r="C809" s="53"/>
      <c r="D809" s="53"/>
      <c r="E809" s="54"/>
      <c r="F809" s="53"/>
      <c r="G809" s="560"/>
      <c r="H809" s="562"/>
      <c r="I809" s="564"/>
    </row>
    <row r="810" spans="1:9" ht="12" customHeight="1">
      <c r="A810" s="615"/>
      <c r="B810" s="584" t="str">
        <f>B753</f>
        <v>فونداسیون  ZONE Z2</v>
      </c>
      <c r="C810" s="53"/>
      <c r="D810" s="53"/>
      <c r="E810" s="53"/>
      <c r="F810" s="53"/>
      <c r="G810" s="559">
        <v>89.6</v>
      </c>
      <c r="H810" s="561"/>
      <c r="I810" s="563" t="str">
        <f>I753</f>
        <v>صورتجلسه شماره: 4</v>
      </c>
    </row>
    <row r="811" spans="1:9" ht="12" customHeight="1">
      <c r="A811" s="615"/>
      <c r="B811" s="585"/>
      <c r="C811" s="53"/>
      <c r="D811" s="53"/>
      <c r="E811" s="54"/>
      <c r="F811" s="53"/>
      <c r="G811" s="560"/>
      <c r="H811" s="562"/>
      <c r="I811" s="564"/>
    </row>
    <row r="812" spans="1:9" ht="12" customHeight="1">
      <c r="A812" s="615"/>
      <c r="B812" s="584" t="str">
        <f>B755</f>
        <v>فونداسیون  ZONE Z3</v>
      </c>
      <c r="C812" s="53"/>
      <c r="D812" s="53"/>
      <c r="E812" s="53"/>
      <c r="F812" s="53"/>
      <c r="G812" s="559">
        <v>80.319999999999993</v>
      </c>
      <c r="H812" s="561"/>
      <c r="I812" s="563" t="str">
        <f>I755</f>
        <v>صورتجلسه شماره: 5</v>
      </c>
    </row>
    <row r="813" spans="1:9" ht="12" customHeight="1">
      <c r="A813" s="615"/>
      <c r="B813" s="585"/>
      <c r="C813" s="53"/>
      <c r="D813" s="53"/>
      <c r="E813" s="54"/>
      <c r="F813" s="53"/>
      <c r="G813" s="560"/>
      <c r="H813" s="562"/>
      <c r="I813" s="564"/>
    </row>
    <row r="814" spans="1:9" ht="12" customHeight="1">
      <c r="A814" s="615"/>
      <c r="B814" s="584" t="str">
        <f>B757</f>
        <v>فونداسیون  ZONE Z4</v>
      </c>
      <c r="C814" s="53"/>
      <c r="D814" s="53"/>
      <c r="E814" s="53"/>
      <c r="F814" s="53"/>
      <c r="G814" s="559">
        <v>121.59</v>
      </c>
      <c r="H814" s="561"/>
      <c r="I814" s="563" t="str">
        <f>I757</f>
        <v>صورتجلسه شماره: 6</v>
      </c>
    </row>
    <row r="815" spans="1:9" ht="12" customHeight="1">
      <c r="A815" s="615"/>
      <c r="B815" s="585"/>
      <c r="C815" s="53"/>
      <c r="D815" s="53"/>
      <c r="E815" s="54"/>
      <c r="F815" s="53"/>
      <c r="G815" s="560"/>
      <c r="H815" s="562"/>
      <c r="I815" s="564"/>
    </row>
    <row r="816" spans="1:9" ht="12" customHeight="1">
      <c r="A816" s="615"/>
      <c r="B816" s="584" t="str">
        <f>B759</f>
        <v>فونداسیون  ZONE Z5</v>
      </c>
      <c r="C816" s="53"/>
      <c r="D816" s="53"/>
      <c r="E816" s="53"/>
      <c r="F816" s="53"/>
      <c r="G816" s="559">
        <v>27.73</v>
      </c>
      <c r="H816" s="561"/>
      <c r="I816" s="563" t="str">
        <f>I759</f>
        <v>صورتجلسه شماره: 7</v>
      </c>
    </row>
    <row r="817" spans="1:9" ht="12" customHeight="1">
      <c r="A817" s="615"/>
      <c r="B817" s="585"/>
      <c r="C817" s="53"/>
      <c r="D817" s="53"/>
      <c r="E817" s="54"/>
      <c r="F817" s="53"/>
      <c r="G817" s="560"/>
      <c r="H817" s="562"/>
      <c r="I817" s="564"/>
    </row>
    <row r="818" spans="1:9" ht="12" customHeight="1">
      <c r="A818" s="615"/>
      <c r="B818" s="584" t="str">
        <f>B761</f>
        <v>فونداسیون  ZONE Y1</v>
      </c>
      <c r="C818" s="53"/>
      <c r="D818" s="53"/>
      <c r="E818" s="53"/>
      <c r="F818" s="53"/>
      <c r="G818" s="559">
        <v>29.62</v>
      </c>
      <c r="H818" s="561"/>
      <c r="I818" s="563" t="str">
        <f>I761</f>
        <v>صورتجلسه شماره: 8</v>
      </c>
    </row>
    <row r="819" spans="1:9" ht="12" customHeight="1">
      <c r="A819" s="615"/>
      <c r="B819" s="585"/>
      <c r="C819" s="53"/>
      <c r="D819" s="53"/>
      <c r="E819" s="54"/>
      <c r="F819" s="53"/>
      <c r="G819" s="560"/>
      <c r="H819" s="562"/>
      <c r="I819" s="564"/>
    </row>
    <row r="820" spans="1:9" ht="12" customHeight="1">
      <c r="A820" s="615"/>
      <c r="B820" s="584" t="str">
        <f>B763</f>
        <v>فونداسیون  ZONE Y2</v>
      </c>
      <c r="C820" s="53"/>
      <c r="D820" s="53"/>
      <c r="E820" s="53"/>
      <c r="F820" s="53"/>
      <c r="G820" s="559">
        <v>46.08</v>
      </c>
      <c r="H820" s="561"/>
      <c r="I820" s="563" t="str">
        <f>I763</f>
        <v>صورتجلسه شماره: 9</v>
      </c>
    </row>
    <row r="821" spans="1:9" ht="12" customHeight="1">
      <c r="A821" s="615"/>
      <c r="B821" s="585"/>
      <c r="C821" s="53"/>
      <c r="D821" s="53"/>
      <c r="E821" s="54"/>
      <c r="F821" s="53"/>
      <c r="G821" s="560"/>
      <c r="H821" s="562"/>
      <c r="I821" s="564"/>
    </row>
    <row r="822" spans="1:9" ht="12" customHeight="1">
      <c r="A822" s="615"/>
      <c r="B822" s="584" t="str">
        <f>B765</f>
        <v>فونداسیون  ZONE Y3</v>
      </c>
      <c r="C822" s="53"/>
      <c r="D822" s="53"/>
      <c r="E822" s="53"/>
      <c r="F822" s="53"/>
      <c r="G822" s="559">
        <v>65.09</v>
      </c>
      <c r="H822" s="561"/>
      <c r="I822" s="563" t="str">
        <f>I765</f>
        <v>صورتجلسه شماره: 10</v>
      </c>
    </row>
    <row r="823" spans="1:9" ht="12" customHeight="1">
      <c r="A823" s="615"/>
      <c r="B823" s="585"/>
      <c r="C823" s="53"/>
      <c r="D823" s="53"/>
      <c r="E823" s="54"/>
      <c r="F823" s="53"/>
      <c r="G823" s="560"/>
      <c r="H823" s="562"/>
      <c r="I823" s="564"/>
    </row>
    <row r="824" spans="1:9" ht="12" customHeight="1">
      <c r="A824" s="616"/>
      <c r="B824" s="565" t="s">
        <v>33</v>
      </c>
      <c r="C824" s="566"/>
      <c r="D824" s="566"/>
      <c r="E824" s="567"/>
      <c r="F824" s="299" t="str">
        <f>A807</f>
        <v>080106</v>
      </c>
      <c r="G824" s="300">
        <f>SUM(G808:G823)</f>
        <v>480.43999999999994</v>
      </c>
      <c r="H824" s="301">
        <f>SUM(H808:H809)</f>
        <v>0</v>
      </c>
      <c r="I824" s="302" t="str">
        <f>IF(F824="","",VLOOKUP(F824,'ابنیه 95'!$A:$E,3,FALSE))</f>
        <v>مترمکعب</v>
      </c>
    </row>
    <row r="825" spans="1:9" ht="12" customHeight="1">
      <c r="A825" s="614" t="s">
        <v>139</v>
      </c>
      <c r="B825" s="571" t="str">
        <f>IF(A825="","",VLOOKUP(A825,'ابنیه 95'!$A:$E,2,FALSE))</f>
        <v>تهيه و اجراي بتن با شن و ماسه شسته طبيعي يا شکسته با مقاومت فشاري مشخصه 30 مگاپاسكال.</v>
      </c>
      <c r="C825" s="572"/>
      <c r="D825" s="572"/>
      <c r="E825" s="572"/>
      <c r="F825" s="572"/>
      <c r="G825" s="572"/>
      <c r="H825" s="572"/>
      <c r="I825" s="573"/>
    </row>
    <row r="826" spans="1:9" ht="8.1" customHeight="1">
      <c r="A826" s="615"/>
      <c r="B826" s="584" t="str">
        <f>B667</f>
        <v xml:space="preserve"> ستونهای طبقه زیرزمین   ZONE Z ,Y</v>
      </c>
      <c r="C826" s="53"/>
      <c r="D826" s="53"/>
      <c r="E826" s="53"/>
      <c r="F826" s="53"/>
      <c r="G826" s="559">
        <v>67.77</v>
      </c>
      <c r="H826" s="561"/>
      <c r="I826" s="563" t="str">
        <f>I667</f>
        <v>صورتجلسه شماره: 11</v>
      </c>
    </row>
    <row r="827" spans="1:9" ht="8.1" customHeight="1">
      <c r="A827" s="615"/>
      <c r="B827" s="585"/>
      <c r="C827" s="53"/>
      <c r="D827" s="53"/>
      <c r="E827" s="54"/>
      <c r="F827" s="53"/>
      <c r="G827" s="560"/>
      <c r="H827" s="562"/>
      <c r="I827" s="564"/>
    </row>
    <row r="828" spans="1:9" ht="8.1" customHeight="1">
      <c r="A828" s="615"/>
      <c r="B828" s="584" t="str">
        <f>B717</f>
        <v xml:space="preserve">سقف زیرزمین درZONE Z1 </v>
      </c>
      <c r="C828" s="53"/>
      <c r="D828" s="53"/>
      <c r="E828" s="53"/>
      <c r="F828" s="53"/>
      <c r="G828" s="559">
        <v>5.3</v>
      </c>
      <c r="H828" s="561"/>
      <c r="I828" s="563" t="str">
        <f>I717</f>
        <v>علی الحساب</v>
      </c>
    </row>
    <row r="829" spans="1:9" ht="8.1" customHeight="1">
      <c r="A829" s="615"/>
      <c r="B829" s="585"/>
      <c r="C829" s="53"/>
      <c r="D829" s="53"/>
      <c r="E829" s="54"/>
      <c r="F829" s="53"/>
      <c r="G829" s="560"/>
      <c r="H829" s="562"/>
      <c r="I829" s="564"/>
    </row>
    <row r="830" spans="1:9" ht="8.1" customHeight="1">
      <c r="A830" s="615"/>
      <c r="B830" s="584" t="str">
        <f>B719</f>
        <v>سقف زیرزمین درZONE Z2</v>
      </c>
      <c r="C830" s="53"/>
      <c r="D830" s="53"/>
      <c r="E830" s="53"/>
      <c r="F830" s="53"/>
      <c r="G830" s="559">
        <v>28.17</v>
      </c>
      <c r="H830" s="561"/>
      <c r="I830" s="563" t="str">
        <f>I719</f>
        <v>علی الحساب</v>
      </c>
    </row>
    <row r="831" spans="1:9" ht="8.1" customHeight="1">
      <c r="A831" s="615"/>
      <c r="B831" s="585"/>
      <c r="C831" s="53"/>
      <c r="D831" s="53"/>
      <c r="E831" s="54"/>
      <c r="F831" s="53"/>
      <c r="G831" s="560"/>
      <c r="H831" s="562"/>
      <c r="I831" s="564"/>
    </row>
    <row r="832" spans="1:9" ht="8.1" customHeight="1">
      <c r="A832" s="615"/>
      <c r="B832" s="584" t="str">
        <f>B721</f>
        <v>سقف زیرزمین درZONE Z3</v>
      </c>
      <c r="C832" s="53"/>
      <c r="D832" s="53"/>
      <c r="E832" s="53"/>
      <c r="F832" s="53"/>
      <c r="G832" s="559">
        <v>21.84</v>
      </c>
      <c r="H832" s="561"/>
      <c r="I832" s="563" t="str">
        <f>I721</f>
        <v>علی الحساب</v>
      </c>
    </row>
    <row r="833" spans="1:9" ht="8.1" customHeight="1">
      <c r="A833" s="615"/>
      <c r="B833" s="585"/>
      <c r="C833" s="53"/>
      <c r="D833" s="53"/>
      <c r="E833" s="54"/>
      <c r="F833" s="53"/>
      <c r="G833" s="560"/>
      <c r="H833" s="562"/>
      <c r="I833" s="564"/>
    </row>
    <row r="834" spans="1:9" ht="8.1" customHeight="1">
      <c r="A834" s="615"/>
      <c r="B834" s="584" t="str">
        <f>B723</f>
        <v>سقف زیرزمین درZONE Z4</v>
      </c>
      <c r="C834" s="53"/>
      <c r="D834" s="53"/>
      <c r="E834" s="53"/>
      <c r="F834" s="53"/>
      <c r="G834" s="559">
        <v>37.83</v>
      </c>
      <c r="H834" s="561"/>
      <c r="I834" s="563" t="str">
        <f>I723</f>
        <v>علی الحساب</v>
      </c>
    </row>
    <row r="835" spans="1:9" ht="8.1" customHeight="1">
      <c r="A835" s="615"/>
      <c r="B835" s="585"/>
      <c r="C835" s="53"/>
      <c r="D835" s="53"/>
      <c r="E835" s="54"/>
      <c r="F835" s="53"/>
      <c r="G835" s="560"/>
      <c r="H835" s="562"/>
      <c r="I835" s="564"/>
    </row>
    <row r="836" spans="1:9" ht="8.1" customHeight="1">
      <c r="A836" s="615"/>
      <c r="B836" s="584" t="str">
        <f>B725</f>
        <v>سقف زیرزمین درZONE Z5</v>
      </c>
      <c r="C836" s="53"/>
      <c r="D836" s="53"/>
      <c r="E836" s="53"/>
      <c r="F836" s="53"/>
      <c r="G836" s="559">
        <v>6.94</v>
      </c>
      <c r="H836" s="561"/>
      <c r="I836" s="563" t="str">
        <f>I725</f>
        <v>علی الحساب</v>
      </c>
    </row>
    <row r="837" spans="1:9" ht="8.1" customHeight="1">
      <c r="A837" s="615"/>
      <c r="B837" s="585"/>
      <c r="C837" s="53"/>
      <c r="D837" s="53"/>
      <c r="E837" s="54"/>
      <c r="F837" s="53"/>
      <c r="G837" s="560"/>
      <c r="H837" s="562"/>
      <c r="I837" s="564"/>
    </row>
    <row r="838" spans="1:9" ht="8.1" customHeight="1">
      <c r="A838" s="615"/>
      <c r="B838" s="584" t="str">
        <f>B727</f>
        <v>سقف زیرزمین درZONE Y1</v>
      </c>
      <c r="C838" s="53"/>
      <c r="D838" s="53"/>
      <c r="E838" s="53"/>
      <c r="F838" s="53"/>
      <c r="G838" s="559">
        <v>17.059999999999999</v>
      </c>
      <c r="H838" s="561"/>
      <c r="I838" s="563" t="str">
        <f>I727</f>
        <v>صورتجلسه شماره:12</v>
      </c>
    </row>
    <row r="839" spans="1:9" ht="8.1" customHeight="1">
      <c r="A839" s="615"/>
      <c r="B839" s="585"/>
      <c r="C839" s="53"/>
      <c r="D839" s="53"/>
      <c r="E839" s="54"/>
      <c r="F839" s="53"/>
      <c r="G839" s="560"/>
      <c r="H839" s="562"/>
      <c r="I839" s="564"/>
    </row>
    <row r="840" spans="1:9" ht="8.1" customHeight="1">
      <c r="A840" s="615"/>
      <c r="B840" s="584" t="str">
        <f>B729</f>
        <v>سقف زیرزمین درZONE Y2</v>
      </c>
      <c r="C840" s="53"/>
      <c r="D840" s="53"/>
      <c r="E840" s="53"/>
      <c r="F840" s="53"/>
      <c r="G840" s="559">
        <v>28.82</v>
      </c>
      <c r="H840" s="561"/>
      <c r="I840" s="563" t="str">
        <f>I729</f>
        <v>صورتجلسه شماره:13</v>
      </c>
    </row>
    <row r="841" spans="1:9" ht="8.1" customHeight="1">
      <c r="A841" s="615"/>
      <c r="B841" s="585"/>
      <c r="C841" s="53"/>
      <c r="D841" s="53"/>
      <c r="E841" s="54"/>
      <c r="F841" s="53"/>
      <c r="G841" s="560"/>
      <c r="H841" s="562"/>
      <c r="I841" s="564"/>
    </row>
    <row r="842" spans="1:9" ht="8.1" customHeight="1">
      <c r="A842" s="615"/>
      <c r="B842" s="584" t="str">
        <f>B731</f>
        <v>سقف زیرزمین درZONE Y3</v>
      </c>
      <c r="C842" s="53"/>
      <c r="D842" s="53"/>
      <c r="E842" s="53"/>
      <c r="F842" s="53"/>
      <c r="G842" s="559">
        <v>21.12</v>
      </c>
      <c r="H842" s="561"/>
      <c r="I842" s="563" t="str">
        <f>I731</f>
        <v>علی الحساب</v>
      </c>
    </row>
    <row r="843" spans="1:9" ht="8.1" customHeight="1">
      <c r="A843" s="615"/>
      <c r="B843" s="585"/>
      <c r="C843" s="53"/>
      <c r="D843" s="53"/>
      <c r="E843" s="54"/>
      <c r="F843" s="53"/>
      <c r="G843" s="560"/>
      <c r="H843" s="562"/>
      <c r="I843" s="564"/>
    </row>
    <row r="844" spans="1:9" ht="8.1" customHeight="1">
      <c r="A844" s="615"/>
      <c r="B844" s="584" t="str">
        <f>B587</f>
        <v xml:space="preserve"> ستونهای طبقه اول  مرحله اول ZONE Z1</v>
      </c>
      <c r="C844" s="53"/>
      <c r="D844" s="53"/>
      <c r="E844" s="53"/>
      <c r="F844" s="53"/>
      <c r="G844" s="559">
        <v>3.19</v>
      </c>
      <c r="H844" s="561"/>
      <c r="I844" s="589" t="str">
        <f>I587</f>
        <v>علی الحساب</v>
      </c>
    </row>
    <row r="845" spans="1:9" ht="8.1" customHeight="1">
      <c r="A845" s="615"/>
      <c r="B845" s="585"/>
      <c r="C845" s="53"/>
      <c r="D845" s="53"/>
      <c r="E845" s="54"/>
      <c r="F845" s="53"/>
      <c r="G845" s="560"/>
      <c r="H845" s="562"/>
      <c r="I845" s="590"/>
    </row>
    <row r="846" spans="1:9" ht="8.1" customHeight="1">
      <c r="A846" s="615"/>
      <c r="B846" s="584" t="str">
        <f>B589</f>
        <v xml:space="preserve"> ستونهای طبقه اول  مرحله اول ZONE Z2</v>
      </c>
      <c r="C846" s="53"/>
      <c r="D846" s="53"/>
      <c r="E846" s="53"/>
      <c r="F846" s="53"/>
      <c r="G846" s="559">
        <v>16.95</v>
      </c>
      <c r="H846" s="561"/>
      <c r="I846" s="589" t="str">
        <f>I589</f>
        <v>علی الحساب</v>
      </c>
    </row>
    <row r="847" spans="1:9" ht="8.1" customHeight="1">
      <c r="A847" s="615"/>
      <c r="B847" s="585"/>
      <c r="C847" s="53"/>
      <c r="D847" s="53"/>
      <c r="E847" s="54"/>
      <c r="F847" s="53"/>
      <c r="G847" s="560"/>
      <c r="H847" s="562"/>
      <c r="I847" s="590"/>
    </row>
    <row r="848" spans="1:9" ht="8.1" customHeight="1">
      <c r="A848" s="615"/>
      <c r="B848" s="584" t="str">
        <f>B591</f>
        <v xml:space="preserve"> ستونهای طبقه اول  مرحله اول ZONE Z3</v>
      </c>
      <c r="C848" s="53"/>
      <c r="D848" s="53"/>
      <c r="E848" s="53"/>
      <c r="F848" s="53"/>
      <c r="G848" s="559">
        <v>13.15</v>
      </c>
      <c r="H848" s="561"/>
      <c r="I848" s="589" t="str">
        <f>I591</f>
        <v>علی الحساب</v>
      </c>
    </row>
    <row r="849" spans="1:9" ht="8.1" customHeight="1">
      <c r="A849" s="615"/>
      <c r="B849" s="585"/>
      <c r="C849" s="53"/>
      <c r="D849" s="53"/>
      <c r="E849" s="54"/>
      <c r="F849" s="53"/>
      <c r="G849" s="560"/>
      <c r="H849" s="562"/>
      <c r="I849" s="590"/>
    </row>
    <row r="850" spans="1:9" ht="8.1" customHeight="1">
      <c r="A850" s="615"/>
      <c r="B850" s="584" t="str">
        <f>B593</f>
        <v xml:space="preserve"> ستونهای طبقه اول  مرحله اول ZONE Z4</v>
      </c>
      <c r="C850" s="53"/>
      <c r="D850" s="53"/>
      <c r="E850" s="53"/>
      <c r="F850" s="53"/>
      <c r="G850" s="559">
        <v>22.77</v>
      </c>
      <c r="H850" s="561"/>
      <c r="I850" s="589" t="str">
        <f>I593</f>
        <v>علی الحساب</v>
      </c>
    </row>
    <row r="851" spans="1:9" ht="8.1" customHeight="1">
      <c r="A851" s="615"/>
      <c r="B851" s="585"/>
      <c r="C851" s="53"/>
      <c r="D851" s="53"/>
      <c r="E851" s="54"/>
      <c r="F851" s="53"/>
      <c r="G851" s="560"/>
      <c r="H851" s="562"/>
      <c r="I851" s="590"/>
    </row>
    <row r="852" spans="1:9" ht="8.1" customHeight="1">
      <c r="A852" s="615"/>
      <c r="B852" s="584" t="str">
        <f>B595</f>
        <v xml:space="preserve"> ستونهای طبقه اول  مرحله اول ZONE Z5</v>
      </c>
      <c r="C852" s="53"/>
      <c r="D852" s="53"/>
      <c r="E852" s="53"/>
      <c r="F852" s="53"/>
      <c r="G852" s="559">
        <v>4.18</v>
      </c>
      <c r="H852" s="561"/>
      <c r="I852" s="589" t="str">
        <f>I595</f>
        <v>علی الحساب</v>
      </c>
    </row>
    <row r="853" spans="1:9" ht="8.1" customHeight="1">
      <c r="A853" s="615"/>
      <c r="B853" s="585"/>
      <c r="C853" s="53"/>
      <c r="D853" s="53"/>
      <c r="E853" s="54"/>
      <c r="F853" s="53"/>
      <c r="G853" s="560"/>
      <c r="H853" s="562"/>
      <c r="I853" s="590"/>
    </row>
    <row r="854" spans="1:9" ht="8.1" customHeight="1">
      <c r="A854" s="615"/>
      <c r="B854" s="584" t="str">
        <f>B597</f>
        <v xml:space="preserve"> ستونهای طبقه اول  مرحله اول ZONE Y1</v>
      </c>
      <c r="C854" s="53"/>
      <c r="D854" s="53"/>
      <c r="E854" s="53"/>
      <c r="F854" s="53"/>
      <c r="G854" s="559">
        <v>5.31</v>
      </c>
      <c r="H854" s="561"/>
      <c r="I854" s="589" t="str">
        <f>I597</f>
        <v>علی الحساب</v>
      </c>
    </row>
    <row r="855" spans="1:9" ht="8.1" customHeight="1">
      <c r="A855" s="615"/>
      <c r="B855" s="585"/>
      <c r="C855" s="53"/>
      <c r="D855" s="53"/>
      <c r="E855" s="54"/>
      <c r="F855" s="53"/>
      <c r="G855" s="560"/>
      <c r="H855" s="562"/>
      <c r="I855" s="590"/>
    </row>
    <row r="856" spans="1:9" ht="8.1" customHeight="1">
      <c r="A856" s="615"/>
      <c r="B856" s="584" t="str">
        <f>B599</f>
        <v xml:space="preserve"> ستونهای طبقه اول  مرحله اول ZONE Y2</v>
      </c>
      <c r="C856" s="53"/>
      <c r="D856" s="53"/>
      <c r="E856" s="53"/>
      <c r="F856" s="53"/>
      <c r="G856" s="559">
        <v>8.68</v>
      </c>
      <c r="H856" s="561"/>
      <c r="I856" s="589" t="str">
        <f>I599</f>
        <v>علی الحساب</v>
      </c>
    </row>
    <row r="857" spans="1:9" ht="8.1" customHeight="1">
      <c r="A857" s="615"/>
      <c r="B857" s="585"/>
      <c r="C857" s="53"/>
      <c r="D857" s="53"/>
      <c r="E857" s="54"/>
      <c r="F857" s="53"/>
      <c r="G857" s="560"/>
      <c r="H857" s="562"/>
      <c r="I857" s="590"/>
    </row>
    <row r="858" spans="1:9" ht="8.1" customHeight="1">
      <c r="A858" s="615"/>
      <c r="B858" s="584" t="str">
        <f>B601</f>
        <v xml:space="preserve"> ستونهای طبقه اول  مرحله اول ZONE Y3</v>
      </c>
      <c r="C858" s="53"/>
      <c r="D858" s="53"/>
      <c r="E858" s="53"/>
      <c r="F858" s="53"/>
      <c r="G858" s="559">
        <v>12.71</v>
      </c>
      <c r="H858" s="561"/>
      <c r="I858" s="589" t="str">
        <f>I601</f>
        <v>علی الحساب</v>
      </c>
    </row>
    <row r="859" spans="1:9" ht="8.1" customHeight="1">
      <c r="A859" s="615"/>
      <c r="B859" s="585"/>
      <c r="C859" s="53"/>
      <c r="D859" s="53"/>
      <c r="E859" s="54"/>
      <c r="F859" s="53"/>
      <c r="G859" s="560"/>
      <c r="H859" s="562"/>
      <c r="I859" s="590"/>
    </row>
    <row r="860" spans="1:9" ht="8.1" customHeight="1">
      <c r="A860" s="615"/>
      <c r="B860" s="584" t="str">
        <f>B617</f>
        <v xml:space="preserve"> ستونهای طبقه اول  مرحله دوم ZONE Z1</v>
      </c>
      <c r="C860" s="53"/>
      <c r="D860" s="53"/>
      <c r="E860" s="53"/>
      <c r="F860" s="53"/>
      <c r="G860" s="559">
        <v>3.19</v>
      </c>
      <c r="H860" s="561"/>
      <c r="I860" s="589" t="str">
        <f>I617</f>
        <v>علی الحساب</v>
      </c>
    </row>
    <row r="861" spans="1:9" ht="8.1" customHeight="1">
      <c r="A861" s="615"/>
      <c r="B861" s="585"/>
      <c r="C861" s="53"/>
      <c r="D861" s="53"/>
      <c r="E861" s="54"/>
      <c r="F861" s="53"/>
      <c r="G861" s="560"/>
      <c r="H861" s="562"/>
      <c r="I861" s="590"/>
    </row>
    <row r="862" spans="1:9" ht="8.1" customHeight="1">
      <c r="A862" s="615"/>
      <c r="B862" s="584" t="str">
        <f>B619</f>
        <v xml:space="preserve"> ستونهای طبقه اول  مرحله دوم ZONE Z2</v>
      </c>
      <c r="C862" s="53"/>
      <c r="D862" s="53"/>
      <c r="E862" s="53"/>
      <c r="F862" s="53"/>
      <c r="G862" s="559">
        <v>16.95</v>
      </c>
      <c r="H862" s="561"/>
      <c r="I862" s="589" t="str">
        <f>I619</f>
        <v>علی الحساب</v>
      </c>
    </row>
    <row r="863" spans="1:9" ht="8.1" customHeight="1">
      <c r="A863" s="615"/>
      <c r="B863" s="585"/>
      <c r="C863" s="53"/>
      <c r="D863" s="53"/>
      <c r="E863" s="54"/>
      <c r="F863" s="53"/>
      <c r="G863" s="560"/>
      <c r="H863" s="562"/>
      <c r="I863" s="590"/>
    </row>
    <row r="864" spans="1:9" ht="8.1" customHeight="1">
      <c r="A864" s="615"/>
      <c r="B864" s="584" t="str">
        <f>B621</f>
        <v xml:space="preserve"> ستونهای طبقه اول  مرحله دوم ZONE Z3</v>
      </c>
      <c r="C864" s="53"/>
      <c r="D864" s="53"/>
      <c r="E864" s="53"/>
      <c r="F864" s="53"/>
      <c r="G864" s="559">
        <v>13.15</v>
      </c>
      <c r="H864" s="561"/>
      <c r="I864" s="589" t="str">
        <f>I621</f>
        <v>علی الحساب</v>
      </c>
    </row>
    <row r="865" spans="1:9" ht="8.1" customHeight="1">
      <c r="A865" s="615"/>
      <c r="B865" s="585"/>
      <c r="C865" s="53"/>
      <c r="D865" s="53"/>
      <c r="E865" s="54"/>
      <c r="F865" s="53"/>
      <c r="G865" s="560"/>
      <c r="H865" s="562"/>
      <c r="I865" s="590"/>
    </row>
    <row r="866" spans="1:9" ht="8.1" customHeight="1">
      <c r="A866" s="615"/>
      <c r="B866" s="584" t="str">
        <f>B623</f>
        <v xml:space="preserve"> ستونهای طبقه اول  مرحله دوم ZONE Z4</v>
      </c>
      <c r="C866" s="53"/>
      <c r="D866" s="53"/>
      <c r="E866" s="53"/>
      <c r="F866" s="53"/>
      <c r="G866" s="559">
        <v>22.77</v>
      </c>
      <c r="H866" s="561"/>
      <c r="I866" s="589" t="str">
        <f>I623</f>
        <v>علی الحساب</v>
      </c>
    </row>
    <row r="867" spans="1:9" ht="8.1" customHeight="1">
      <c r="A867" s="615"/>
      <c r="B867" s="585"/>
      <c r="C867" s="53"/>
      <c r="D867" s="53"/>
      <c r="E867" s="54"/>
      <c r="F867" s="53"/>
      <c r="G867" s="560"/>
      <c r="H867" s="562"/>
      <c r="I867" s="590"/>
    </row>
    <row r="868" spans="1:9" ht="8.1" customHeight="1">
      <c r="A868" s="615"/>
      <c r="B868" s="584" t="str">
        <f>B625</f>
        <v xml:space="preserve"> ستونهای طبقه اول  مرحله دوم ZONE Z5</v>
      </c>
      <c r="C868" s="53"/>
      <c r="D868" s="53"/>
      <c r="E868" s="53"/>
      <c r="F868" s="53"/>
      <c r="G868" s="559">
        <v>4.18</v>
      </c>
      <c r="H868" s="561"/>
      <c r="I868" s="589" t="str">
        <f>I625</f>
        <v>علی الحساب</v>
      </c>
    </row>
    <row r="869" spans="1:9" ht="8.1" customHeight="1">
      <c r="A869" s="615"/>
      <c r="B869" s="585"/>
      <c r="C869" s="53"/>
      <c r="D869" s="53"/>
      <c r="E869" s="54"/>
      <c r="F869" s="53"/>
      <c r="G869" s="560"/>
      <c r="H869" s="562"/>
      <c r="I869" s="590"/>
    </row>
    <row r="870" spans="1:9" ht="8.1" customHeight="1">
      <c r="A870" s="615"/>
      <c r="B870" s="584" t="str">
        <f>B627</f>
        <v xml:space="preserve"> ستونهای طبقه اول  مرحله دوم ZONE Y1</v>
      </c>
      <c r="C870" s="53"/>
      <c r="D870" s="53"/>
      <c r="E870" s="53"/>
      <c r="F870" s="53"/>
      <c r="G870" s="559">
        <v>5.31</v>
      </c>
      <c r="H870" s="561"/>
      <c r="I870" s="589" t="str">
        <f>I627</f>
        <v>علی الحساب</v>
      </c>
    </row>
    <row r="871" spans="1:9" ht="8.1" customHeight="1">
      <c r="A871" s="615"/>
      <c r="B871" s="585"/>
      <c r="C871" s="53"/>
      <c r="D871" s="53"/>
      <c r="E871" s="54"/>
      <c r="F871" s="53"/>
      <c r="G871" s="560"/>
      <c r="H871" s="562"/>
      <c r="I871" s="590"/>
    </row>
    <row r="872" spans="1:9" ht="8.1" customHeight="1">
      <c r="A872" s="615"/>
      <c r="B872" s="584" t="str">
        <f>B629</f>
        <v xml:space="preserve"> ستونهای طبقه اول  مرحله دوم ZONE Y2</v>
      </c>
      <c r="C872" s="53"/>
      <c r="D872" s="53"/>
      <c r="E872" s="53"/>
      <c r="F872" s="53"/>
      <c r="G872" s="559">
        <v>8.68</v>
      </c>
      <c r="H872" s="561"/>
      <c r="I872" s="589" t="str">
        <f>I629</f>
        <v>علی الحساب</v>
      </c>
    </row>
    <row r="873" spans="1:9" ht="8.1" customHeight="1">
      <c r="A873" s="615"/>
      <c r="B873" s="585"/>
      <c r="C873" s="53"/>
      <c r="D873" s="53"/>
      <c r="E873" s="54"/>
      <c r="F873" s="53"/>
      <c r="G873" s="560"/>
      <c r="H873" s="562"/>
      <c r="I873" s="590"/>
    </row>
    <row r="874" spans="1:9" ht="8.1" customHeight="1">
      <c r="A874" s="615"/>
      <c r="B874" s="584" t="str">
        <f>B631</f>
        <v xml:space="preserve"> ستونهای طبقه اول  مرحله دوم ZONE Y3</v>
      </c>
      <c r="C874" s="53"/>
      <c r="D874" s="53"/>
      <c r="E874" s="53"/>
      <c r="F874" s="53"/>
      <c r="G874" s="559">
        <v>12.71</v>
      </c>
      <c r="H874" s="561"/>
      <c r="I874" s="589" t="str">
        <f>I631</f>
        <v>علی الحساب</v>
      </c>
    </row>
    <row r="875" spans="1:9" ht="8.1" customHeight="1">
      <c r="A875" s="615"/>
      <c r="B875" s="585"/>
      <c r="C875" s="53"/>
      <c r="D875" s="53"/>
      <c r="E875" s="54"/>
      <c r="F875" s="53"/>
      <c r="G875" s="560"/>
      <c r="H875" s="562"/>
      <c r="I875" s="590"/>
    </row>
    <row r="876" spans="1:9" ht="8.1" customHeight="1">
      <c r="A876" s="615"/>
      <c r="B876" s="584" t="str">
        <f>B685</f>
        <v>عملیات انجام گرفته درتیرهای ZONE Z1</v>
      </c>
      <c r="C876" s="53"/>
      <c r="D876" s="53"/>
      <c r="E876" s="53"/>
      <c r="F876" s="53"/>
      <c r="G876" s="559">
        <v>4.0999999999999996</v>
      </c>
      <c r="H876" s="561"/>
      <c r="I876" s="589" t="str">
        <f>I685</f>
        <v>علی الحساب</v>
      </c>
    </row>
    <row r="877" spans="1:9" ht="8.1" customHeight="1">
      <c r="A877" s="615"/>
      <c r="B877" s="585"/>
      <c r="C877" s="53"/>
      <c r="D877" s="53"/>
      <c r="E877" s="54"/>
      <c r="F877" s="53"/>
      <c r="G877" s="560"/>
      <c r="H877" s="562"/>
      <c r="I877" s="590"/>
    </row>
    <row r="878" spans="1:9" ht="8.1" customHeight="1">
      <c r="A878" s="615"/>
      <c r="B878" s="584" t="str">
        <f>B687</f>
        <v>عملیات انجام گرفته درتیرهای ZONE Z2</v>
      </c>
      <c r="C878" s="53"/>
      <c r="D878" s="53"/>
      <c r="E878" s="53"/>
      <c r="F878" s="53"/>
      <c r="G878" s="559">
        <v>21.79</v>
      </c>
      <c r="H878" s="561"/>
      <c r="I878" s="589" t="str">
        <f>I687</f>
        <v>علی الحساب</v>
      </c>
    </row>
    <row r="879" spans="1:9" ht="8.1" customHeight="1">
      <c r="A879" s="615"/>
      <c r="B879" s="585"/>
      <c r="C879" s="53"/>
      <c r="D879" s="53"/>
      <c r="E879" s="54"/>
      <c r="F879" s="53"/>
      <c r="G879" s="560"/>
      <c r="H879" s="562"/>
      <c r="I879" s="590"/>
    </row>
    <row r="880" spans="1:9" ht="8.1" customHeight="1">
      <c r="A880" s="615"/>
      <c r="B880" s="584" t="str">
        <f>B689</f>
        <v>عملیات انجام گرفته درتیرهای ZONE Z3</v>
      </c>
      <c r="C880" s="53"/>
      <c r="D880" s="53"/>
      <c r="E880" s="53"/>
      <c r="F880" s="53"/>
      <c r="G880" s="559">
        <v>16.899999999999999</v>
      </c>
      <c r="H880" s="561"/>
      <c r="I880" s="589" t="str">
        <f>I689</f>
        <v>علی الحساب</v>
      </c>
    </row>
    <row r="881" spans="1:9" ht="8.1" customHeight="1">
      <c r="A881" s="615"/>
      <c r="B881" s="585"/>
      <c r="C881" s="53"/>
      <c r="D881" s="53"/>
      <c r="E881" s="54"/>
      <c r="F881" s="53"/>
      <c r="G881" s="560"/>
      <c r="H881" s="562"/>
      <c r="I881" s="590"/>
    </row>
    <row r="882" spans="1:9" ht="8.1" customHeight="1">
      <c r="A882" s="615"/>
      <c r="B882" s="584" t="str">
        <f>B691</f>
        <v>عملیات انجام گرفته درتیرهای ZONE Z4</v>
      </c>
      <c r="C882" s="53"/>
      <c r="D882" s="53"/>
      <c r="E882" s="53"/>
      <c r="F882" s="53"/>
      <c r="G882" s="559">
        <v>29.26</v>
      </c>
      <c r="H882" s="561"/>
      <c r="I882" s="589" t="str">
        <f>I691</f>
        <v>علی الحساب</v>
      </c>
    </row>
    <row r="883" spans="1:9" ht="8.1" customHeight="1">
      <c r="A883" s="615"/>
      <c r="B883" s="585"/>
      <c r="C883" s="53"/>
      <c r="D883" s="53"/>
      <c r="E883" s="54"/>
      <c r="F883" s="53"/>
      <c r="G883" s="560"/>
      <c r="H883" s="562"/>
      <c r="I883" s="590"/>
    </row>
    <row r="884" spans="1:9" ht="8.1" customHeight="1">
      <c r="A884" s="615"/>
      <c r="B884" s="584" t="str">
        <f>B693</f>
        <v>عملیات انجام گرفته درتیرهای ZONE Z5</v>
      </c>
      <c r="C884" s="53"/>
      <c r="D884" s="53"/>
      <c r="E884" s="53"/>
      <c r="F884" s="53"/>
      <c r="G884" s="559">
        <v>5.37</v>
      </c>
      <c r="H884" s="561"/>
      <c r="I884" s="589" t="str">
        <f>I693</f>
        <v>علی الحساب</v>
      </c>
    </row>
    <row r="885" spans="1:9" ht="8.1" customHeight="1">
      <c r="A885" s="615"/>
      <c r="B885" s="585"/>
      <c r="C885" s="53"/>
      <c r="D885" s="53"/>
      <c r="E885" s="54"/>
      <c r="F885" s="53"/>
      <c r="G885" s="560"/>
      <c r="H885" s="562"/>
      <c r="I885" s="590"/>
    </row>
    <row r="886" spans="1:9" ht="8.1" customHeight="1">
      <c r="A886" s="615"/>
      <c r="B886" s="584" t="str">
        <f>B695</f>
        <v>عملیات انجام گرفته درتیرهای ZONE Y1</v>
      </c>
      <c r="C886" s="53"/>
      <c r="D886" s="53"/>
      <c r="E886" s="53"/>
      <c r="F886" s="53"/>
      <c r="G886" s="559">
        <v>6.82</v>
      </c>
      <c r="H886" s="561"/>
      <c r="I886" s="589" t="str">
        <f>I695</f>
        <v>علی الحساب</v>
      </c>
    </row>
    <row r="887" spans="1:9" ht="8.1" customHeight="1">
      <c r="A887" s="615"/>
      <c r="B887" s="585"/>
      <c r="C887" s="53"/>
      <c r="D887" s="53"/>
      <c r="E887" s="54"/>
      <c r="F887" s="53"/>
      <c r="G887" s="560"/>
      <c r="H887" s="562"/>
      <c r="I887" s="590"/>
    </row>
    <row r="888" spans="1:9" ht="8.1" customHeight="1">
      <c r="A888" s="615"/>
      <c r="B888" s="584" t="str">
        <f>B697</f>
        <v>عملیات انجام گرفته درتیرهای ZONE Y2</v>
      </c>
      <c r="C888" s="53"/>
      <c r="D888" s="53"/>
      <c r="E888" s="53"/>
      <c r="F888" s="53"/>
      <c r="G888" s="559">
        <v>11.16</v>
      </c>
      <c r="H888" s="561"/>
      <c r="I888" s="589" t="str">
        <f>I697</f>
        <v>علی الحساب</v>
      </c>
    </row>
    <row r="889" spans="1:9" ht="8.1" customHeight="1">
      <c r="A889" s="615"/>
      <c r="B889" s="585"/>
      <c r="C889" s="53"/>
      <c r="D889" s="53"/>
      <c r="E889" s="54"/>
      <c r="F889" s="53"/>
      <c r="G889" s="560"/>
      <c r="H889" s="562"/>
      <c r="I889" s="590"/>
    </row>
    <row r="890" spans="1:9" ht="8.1" customHeight="1">
      <c r="A890" s="615"/>
      <c r="B890" s="584" t="str">
        <f>B699</f>
        <v>عملیات انجام گرفته در سقف دوم ZONE Z1</v>
      </c>
      <c r="C890" s="53"/>
      <c r="D890" s="53"/>
      <c r="E890" s="53"/>
      <c r="F890" s="53"/>
      <c r="G890" s="559">
        <v>6.04</v>
      </c>
      <c r="H890" s="561"/>
      <c r="I890" s="589" t="str">
        <f>I699</f>
        <v>علی الحساب</v>
      </c>
    </row>
    <row r="891" spans="1:9" ht="8.1" customHeight="1">
      <c r="A891" s="615"/>
      <c r="B891" s="585"/>
      <c r="C891" s="53"/>
      <c r="D891" s="53"/>
      <c r="E891" s="54"/>
      <c r="F891" s="53"/>
      <c r="G891" s="560"/>
      <c r="H891" s="562"/>
      <c r="I891" s="590"/>
    </row>
    <row r="892" spans="1:9" ht="8.1" customHeight="1">
      <c r="A892" s="615"/>
      <c r="B892" s="584" t="str">
        <f>B701</f>
        <v>عملیات انجام گرفته در سقف دوم ZONE Z2</v>
      </c>
      <c r="C892" s="53"/>
      <c r="D892" s="53"/>
      <c r="E892" s="53"/>
      <c r="F892" s="53"/>
      <c r="G892" s="559">
        <v>32.090000000000003</v>
      </c>
      <c r="H892" s="561"/>
      <c r="I892" s="589" t="str">
        <f>I701</f>
        <v>علی الحساب</v>
      </c>
    </row>
    <row r="893" spans="1:9" ht="8.1" customHeight="1">
      <c r="A893" s="615"/>
      <c r="B893" s="585"/>
      <c r="C893" s="53"/>
      <c r="D893" s="53"/>
      <c r="E893" s="54"/>
      <c r="F893" s="53"/>
      <c r="G893" s="560"/>
      <c r="H893" s="562"/>
      <c r="I893" s="590"/>
    </row>
    <row r="894" spans="1:9" ht="8.1" customHeight="1">
      <c r="A894" s="615"/>
      <c r="B894" s="584" t="str">
        <f>B703</f>
        <v>عملیات انجام گرفته در سقف دوم ZONE Z3</v>
      </c>
      <c r="C894" s="53"/>
      <c r="D894" s="53"/>
      <c r="E894" s="53"/>
      <c r="F894" s="53"/>
      <c r="G894" s="559">
        <v>24.89</v>
      </c>
      <c r="H894" s="561"/>
      <c r="I894" s="589" t="str">
        <f>I703</f>
        <v>علی الحساب</v>
      </c>
    </row>
    <row r="895" spans="1:9" ht="8.1" customHeight="1">
      <c r="A895" s="615"/>
      <c r="B895" s="585"/>
      <c r="C895" s="53"/>
      <c r="D895" s="53"/>
      <c r="E895" s="54"/>
      <c r="F895" s="53"/>
      <c r="G895" s="560"/>
      <c r="H895" s="562"/>
      <c r="I895" s="590"/>
    </row>
    <row r="896" spans="1:9" ht="8.1" customHeight="1">
      <c r="A896" s="615"/>
      <c r="B896" s="584" t="str">
        <f>B705</f>
        <v>عملیات انجام گرفته در سقف دوم ZONE Z4</v>
      </c>
      <c r="C896" s="53"/>
      <c r="D896" s="53"/>
      <c r="E896" s="53"/>
      <c r="F896" s="53"/>
      <c r="G896" s="559">
        <v>43.11</v>
      </c>
      <c r="H896" s="561"/>
      <c r="I896" s="589" t="str">
        <f>I705</f>
        <v>علی الحساب</v>
      </c>
    </row>
    <row r="897" spans="1:9" ht="8.1" customHeight="1">
      <c r="A897" s="615"/>
      <c r="B897" s="585"/>
      <c r="C897" s="53"/>
      <c r="D897" s="53"/>
      <c r="E897" s="54"/>
      <c r="F897" s="53"/>
      <c r="G897" s="560"/>
      <c r="H897" s="562"/>
      <c r="I897" s="590"/>
    </row>
    <row r="898" spans="1:9" ht="8.1" customHeight="1">
      <c r="A898" s="615"/>
      <c r="B898" s="584" t="str">
        <f>B707</f>
        <v>عملیات انجام گرفته در سقف دوم ZONE Z5</v>
      </c>
      <c r="C898" s="53"/>
      <c r="D898" s="53"/>
      <c r="E898" s="53"/>
      <c r="F898" s="53"/>
      <c r="G898" s="559">
        <v>7.91</v>
      </c>
      <c r="H898" s="561"/>
      <c r="I898" s="589" t="str">
        <f>I707</f>
        <v>علی الحساب</v>
      </c>
    </row>
    <row r="899" spans="1:9" ht="8.1" customHeight="1">
      <c r="A899" s="615"/>
      <c r="B899" s="585"/>
      <c r="C899" s="53"/>
      <c r="D899" s="53"/>
      <c r="E899" s="54"/>
      <c r="F899" s="53"/>
      <c r="G899" s="560"/>
      <c r="H899" s="562"/>
      <c r="I899" s="590"/>
    </row>
    <row r="900" spans="1:9" ht="8.1" customHeight="1">
      <c r="A900" s="615"/>
      <c r="B900" s="584" t="str">
        <f>B709</f>
        <v>عملیات انجام گرفته در سقف دوم ZONE Y1</v>
      </c>
      <c r="C900" s="53"/>
      <c r="D900" s="53"/>
      <c r="E900" s="53"/>
      <c r="F900" s="53"/>
      <c r="G900" s="559">
        <v>10.050000000000001</v>
      </c>
      <c r="H900" s="561"/>
      <c r="I900" s="589" t="str">
        <f>I709</f>
        <v>علی الحساب</v>
      </c>
    </row>
    <row r="901" spans="1:9" ht="8.1" customHeight="1">
      <c r="A901" s="615"/>
      <c r="B901" s="585"/>
      <c r="C901" s="53"/>
      <c r="D901" s="53"/>
      <c r="E901" s="54"/>
      <c r="F901" s="53"/>
      <c r="G901" s="560"/>
      <c r="H901" s="562"/>
      <c r="I901" s="590"/>
    </row>
    <row r="902" spans="1:9" ht="8.1" customHeight="1">
      <c r="A902" s="615"/>
      <c r="B902" s="584" t="str">
        <f>B711</f>
        <v>عملیات انجام گرفته در سقف دوم ZONE Y2</v>
      </c>
      <c r="C902" s="53"/>
      <c r="D902" s="53"/>
      <c r="E902" s="53"/>
      <c r="F902" s="53"/>
      <c r="G902" s="559">
        <v>16.440000000000001</v>
      </c>
      <c r="H902" s="561"/>
      <c r="I902" s="589" t="str">
        <f>I711</f>
        <v>علی الحساب</v>
      </c>
    </row>
    <row r="903" spans="1:9" ht="8.1" customHeight="1">
      <c r="A903" s="615"/>
      <c r="B903" s="585"/>
      <c r="C903" s="53"/>
      <c r="D903" s="53"/>
      <c r="E903" s="54"/>
      <c r="F903" s="53"/>
      <c r="G903" s="560"/>
      <c r="H903" s="562"/>
      <c r="I903" s="590"/>
    </row>
    <row r="904" spans="1:9" ht="8.1" customHeight="1">
      <c r="A904" s="615"/>
      <c r="B904" s="584" t="str">
        <f>B713</f>
        <v>عملیات انجام گرفته در سقف دوم ZONE Y3</v>
      </c>
      <c r="C904" s="53"/>
      <c r="D904" s="53"/>
      <c r="E904" s="53"/>
      <c r="F904" s="53"/>
      <c r="G904" s="559">
        <v>24.06</v>
      </c>
      <c r="H904" s="561"/>
      <c r="I904" s="589" t="str">
        <f>I713</f>
        <v>علی الحساب</v>
      </c>
    </row>
    <row r="905" spans="1:9" ht="8.1" customHeight="1">
      <c r="A905" s="615"/>
      <c r="B905" s="585"/>
      <c r="C905" s="53"/>
      <c r="D905" s="53"/>
      <c r="E905" s="54"/>
      <c r="F905" s="53"/>
      <c r="G905" s="560"/>
      <c r="H905" s="562"/>
      <c r="I905" s="590"/>
    </row>
    <row r="906" spans="1:9" ht="10.5" customHeight="1">
      <c r="A906" s="616"/>
      <c r="B906" s="565" t="s">
        <v>33</v>
      </c>
      <c r="C906" s="566"/>
      <c r="D906" s="566"/>
      <c r="E906" s="567"/>
      <c r="F906" s="299" t="str">
        <f>A825</f>
        <v>080107</v>
      </c>
      <c r="G906" s="300">
        <f>SUM(G826:G905)</f>
        <v>668.71999999999991</v>
      </c>
      <c r="H906" s="301">
        <f>SUM(H826:H827)</f>
        <v>0</v>
      </c>
      <c r="I906" s="302" t="str">
        <f>IF(F906="","",VLOOKUP(F906,'ابنیه 95'!$A:$E,3,FALSE))</f>
        <v>مترمکعب</v>
      </c>
    </row>
    <row r="907" spans="1:9" ht="13.5" customHeight="1">
      <c r="A907" s="568" t="s">
        <v>759</v>
      </c>
      <c r="B907" s="571" t="str">
        <f>IF(A907="","",VLOOKUP(A907,'ابنیه 95'!$A:$E,2,FALSE))</f>
        <v>تهيه و اجراي بتن سبك با پوكه صنعتي و 150 كيلوگرم سيمان در متر مكعب بتن.</v>
      </c>
      <c r="C907" s="572"/>
      <c r="D907" s="572"/>
      <c r="E907" s="572"/>
      <c r="F907" s="572"/>
      <c r="G907" s="572"/>
      <c r="H907" s="572"/>
      <c r="I907" s="573"/>
    </row>
    <row r="908" spans="1:9" ht="6.6" customHeight="1">
      <c r="A908" s="569"/>
      <c r="B908" s="574" t="s">
        <v>3110</v>
      </c>
      <c r="C908" s="232">
        <v>1000</v>
      </c>
      <c r="D908" s="53"/>
      <c r="E908" s="53"/>
      <c r="F908" s="53">
        <v>0.15</v>
      </c>
      <c r="G908" s="559">
        <f>F908*C908</f>
        <v>150</v>
      </c>
      <c r="H908" s="561"/>
      <c r="I908" s="563" t="s">
        <v>65</v>
      </c>
    </row>
    <row r="909" spans="1:9" ht="6.6" customHeight="1">
      <c r="A909" s="569"/>
      <c r="B909" s="575"/>
      <c r="C909" s="53"/>
      <c r="D909" s="53"/>
      <c r="E909" s="54"/>
      <c r="F909" s="53"/>
      <c r="G909" s="560"/>
      <c r="H909" s="562"/>
      <c r="I909" s="564"/>
    </row>
    <row r="910" spans="1:9" ht="13.5" customHeight="1">
      <c r="A910" s="570"/>
      <c r="B910" s="565" t="s">
        <v>33</v>
      </c>
      <c r="C910" s="566"/>
      <c r="D910" s="566"/>
      <c r="E910" s="567"/>
      <c r="F910" s="299" t="str">
        <f>A907</f>
        <v>080202</v>
      </c>
      <c r="G910" s="414">
        <f>SUM(G908:G909)</f>
        <v>150</v>
      </c>
      <c r="H910" s="415">
        <f>SUM(H908:H909)</f>
        <v>0</v>
      </c>
      <c r="I910" s="302" t="str">
        <f>IF(F910="","",VLOOKUP(F910,'ابنیه 95'!$A:$E,3,FALSE))</f>
        <v>مترمکعب</v>
      </c>
    </row>
    <row r="911" spans="1:9" ht="13.5" customHeight="1">
      <c r="A911" s="568" t="s">
        <v>140</v>
      </c>
      <c r="B911" s="571" t="str">
        <f>IF(A911="","",VLOOKUP(A911,'ابنیه 95'!$A:$E,2,FALSE))</f>
        <v>اضافه بها براي بتن‌ريزي ستون‌ها، ديوارها و همچنين شناژها و تيرهايي كه جدا از سقف بتن‌ريزي شوند.</v>
      </c>
      <c r="C911" s="572"/>
      <c r="D911" s="572"/>
      <c r="E911" s="572"/>
      <c r="F911" s="572"/>
      <c r="G911" s="572"/>
      <c r="H911" s="572"/>
      <c r="I911" s="573"/>
    </row>
    <row r="912" spans="1:9" ht="6.6" customHeight="1">
      <c r="A912" s="569"/>
      <c r="B912" s="574" t="s">
        <v>1791</v>
      </c>
      <c r="C912" s="53"/>
      <c r="D912" s="53"/>
      <c r="E912" s="53"/>
      <c r="F912" s="53"/>
      <c r="G912" s="559">
        <f>G826</f>
        <v>67.77</v>
      </c>
      <c r="H912" s="561"/>
      <c r="I912" s="563" t="str">
        <f>I826</f>
        <v>صورتجلسه شماره: 11</v>
      </c>
    </row>
    <row r="913" spans="1:9" ht="6.6" customHeight="1">
      <c r="A913" s="569"/>
      <c r="B913" s="575"/>
      <c r="C913" s="53"/>
      <c r="D913" s="53"/>
      <c r="E913" s="54"/>
      <c r="F913" s="53"/>
      <c r="G913" s="560"/>
      <c r="H913" s="562"/>
      <c r="I913" s="564"/>
    </row>
    <row r="914" spans="1:9" ht="13.5" customHeight="1">
      <c r="A914" s="570"/>
      <c r="B914" s="565" t="s">
        <v>33</v>
      </c>
      <c r="C914" s="566"/>
      <c r="D914" s="566"/>
      <c r="E914" s="567"/>
      <c r="F914" s="299" t="str">
        <f>A911</f>
        <v>080301</v>
      </c>
      <c r="G914" s="300">
        <f>SUM(G912:G913)</f>
        <v>67.77</v>
      </c>
      <c r="H914" s="301">
        <f>SUM(H912:H913)</f>
        <v>0</v>
      </c>
      <c r="I914" s="302" t="str">
        <f>IF(F914="","",VLOOKUP(F914,'ابنیه 95'!$A:$E,3,FALSE))</f>
        <v>مترمکعب</v>
      </c>
    </row>
    <row r="915" spans="1:9" ht="13.5" customHeight="1">
      <c r="A915" s="568" t="s">
        <v>773</v>
      </c>
      <c r="B915" s="571" t="str">
        <f>IF(A915="","",VLOOKUP(A915,'ابنیه 95'!$A:$E,2,FALSE))</f>
        <v>اضافه بها براي كرم‌بندي به منظور هدايت آب (حجم كل بتن كه براي آن كرم‌بندي انجام شده ملاك محاسبه است).</v>
      </c>
      <c r="C915" s="572"/>
      <c r="D915" s="572"/>
      <c r="E915" s="572"/>
      <c r="F915" s="572"/>
      <c r="G915" s="572"/>
      <c r="H915" s="572"/>
      <c r="I915" s="573"/>
    </row>
    <row r="916" spans="1:9" ht="6.6" customHeight="1">
      <c r="A916" s="569"/>
      <c r="B916" s="574" t="str">
        <f>B908</f>
        <v>بتن بر روی پشت بام  ZONE Z ,</v>
      </c>
      <c r="C916" s="232">
        <v>1000</v>
      </c>
      <c r="D916" s="53"/>
      <c r="E916" s="53"/>
      <c r="F916" s="53">
        <v>0.15</v>
      </c>
      <c r="G916" s="559">
        <f>F916*C916</f>
        <v>150</v>
      </c>
      <c r="H916" s="561"/>
      <c r="I916" s="563" t="str">
        <f>I908</f>
        <v>علی الحساب</v>
      </c>
    </row>
    <row r="917" spans="1:9" ht="6.6" customHeight="1">
      <c r="A917" s="569"/>
      <c r="B917" s="575"/>
      <c r="C917" s="53"/>
      <c r="D917" s="53"/>
      <c r="E917" s="54"/>
      <c r="F917" s="53"/>
      <c r="G917" s="560"/>
      <c r="H917" s="562"/>
      <c r="I917" s="564"/>
    </row>
    <row r="918" spans="1:9" ht="13.5" customHeight="1">
      <c r="A918" s="570"/>
      <c r="B918" s="565" t="s">
        <v>33</v>
      </c>
      <c r="C918" s="566"/>
      <c r="D918" s="566"/>
      <c r="E918" s="567"/>
      <c r="F918" s="299" t="str">
        <f>A915</f>
        <v>080305</v>
      </c>
      <c r="G918" s="414">
        <f>SUM(G916:G917)</f>
        <v>150</v>
      </c>
      <c r="H918" s="415">
        <f>SUM(H916:H917)</f>
        <v>0</v>
      </c>
      <c r="I918" s="302" t="str">
        <f>IF(F918="","",VLOOKUP(F918,'ابنیه 95'!$A:$E,3,FALSE))</f>
        <v>مترمکعب</v>
      </c>
    </row>
    <row r="919" spans="1:9" ht="12" customHeight="1">
      <c r="A919" s="551" t="s">
        <v>775</v>
      </c>
      <c r="B919" s="571" t="str">
        <f>IF(A919="","",VLOOKUP(A919,'ابنیه 95'!$A:$E,2,FALSE))</f>
        <v>اضافه بها براي بتن كف‌سازي‌ها با هر وسيله و به هر ضخامت.</v>
      </c>
      <c r="C919" s="572"/>
      <c r="D919" s="572"/>
      <c r="E919" s="572"/>
      <c r="F919" s="572"/>
      <c r="G919" s="572"/>
      <c r="H919" s="572"/>
      <c r="I919" s="573"/>
    </row>
    <row r="920" spans="1:9" ht="6.6" customHeight="1">
      <c r="A920" s="612"/>
      <c r="B920" s="574" t="str">
        <f>B774</f>
        <v>عملیات انجام گرفته در زیرزمین ZONE Z1</v>
      </c>
      <c r="C920" s="53"/>
      <c r="D920" s="53"/>
      <c r="E920" s="53"/>
      <c r="F920" s="53"/>
      <c r="G920" s="559">
        <f>G774</f>
        <v>8.67</v>
      </c>
      <c r="H920" s="561"/>
      <c r="I920" s="563" t="str">
        <f>I774</f>
        <v>علی الحساب</v>
      </c>
    </row>
    <row r="921" spans="1:9" ht="6.6" customHeight="1">
      <c r="A921" s="612"/>
      <c r="B921" s="575"/>
      <c r="C921" s="53"/>
      <c r="D921" s="53"/>
      <c r="E921" s="54"/>
      <c r="F921" s="53"/>
      <c r="G921" s="560"/>
      <c r="H921" s="562"/>
      <c r="I921" s="564"/>
    </row>
    <row r="922" spans="1:9" ht="6.6" customHeight="1">
      <c r="A922" s="612"/>
      <c r="B922" s="574" t="str">
        <f>B776</f>
        <v>عملیات انجام گرفته در زیرزمین ZONE Z2</v>
      </c>
      <c r="C922" s="53"/>
      <c r="D922" s="53"/>
      <c r="E922" s="53"/>
      <c r="F922" s="53"/>
      <c r="G922" s="559">
        <f>G776</f>
        <v>46.1</v>
      </c>
      <c r="H922" s="561"/>
      <c r="I922" s="563" t="str">
        <f>I776</f>
        <v>علی الحساب</v>
      </c>
    </row>
    <row r="923" spans="1:9" ht="6.6" customHeight="1">
      <c r="A923" s="612"/>
      <c r="B923" s="575"/>
      <c r="C923" s="53"/>
      <c r="D923" s="53"/>
      <c r="E923" s="54"/>
      <c r="F923" s="53"/>
      <c r="G923" s="560"/>
      <c r="H923" s="562"/>
      <c r="I923" s="564"/>
    </row>
    <row r="924" spans="1:9" ht="6.6" customHeight="1">
      <c r="A924" s="612"/>
      <c r="B924" s="574" t="str">
        <f>B778</f>
        <v>عملیات انجام گرفته در زیرزمین ZONE Z3</v>
      </c>
      <c r="C924" s="53"/>
      <c r="D924" s="53"/>
      <c r="E924" s="53"/>
      <c r="F924" s="53"/>
      <c r="G924" s="559">
        <f>G778</f>
        <v>35.75</v>
      </c>
      <c r="H924" s="561"/>
      <c r="I924" s="563" t="str">
        <f>I778</f>
        <v>علی الحساب</v>
      </c>
    </row>
    <row r="925" spans="1:9" ht="6.6" customHeight="1">
      <c r="A925" s="612"/>
      <c r="B925" s="575"/>
      <c r="C925" s="53"/>
      <c r="D925" s="53"/>
      <c r="E925" s="54"/>
      <c r="F925" s="53"/>
      <c r="G925" s="560"/>
      <c r="H925" s="562"/>
      <c r="I925" s="564"/>
    </row>
    <row r="926" spans="1:9" ht="6.6" customHeight="1">
      <c r="A926" s="612"/>
      <c r="B926" s="574" t="str">
        <f>B780</f>
        <v>عملیات انجام گرفته در زیرزمین ZONE Z4</v>
      </c>
      <c r="C926" s="53"/>
      <c r="D926" s="53"/>
      <c r="E926" s="53"/>
      <c r="F926" s="53"/>
      <c r="G926" s="559">
        <f>G780</f>
        <v>61.91</v>
      </c>
      <c r="H926" s="561"/>
      <c r="I926" s="563" t="str">
        <f>I780</f>
        <v>علی الحساب</v>
      </c>
    </row>
    <row r="927" spans="1:9" ht="6.6" customHeight="1">
      <c r="A927" s="612"/>
      <c r="B927" s="575"/>
      <c r="C927" s="53"/>
      <c r="D927" s="53"/>
      <c r="E927" s="54"/>
      <c r="F927" s="53"/>
      <c r="G927" s="560"/>
      <c r="H927" s="562"/>
      <c r="I927" s="564"/>
    </row>
    <row r="928" spans="1:9" ht="6.6" customHeight="1">
      <c r="A928" s="612"/>
      <c r="B928" s="574" t="str">
        <f>B782</f>
        <v>عملیات انجام گرفته در زیرزمین ZONE Z5</v>
      </c>
      <c r="C928" s="53"/>
      <c r="D928" s="53"/>
      <c r="E928" s="53"/>
      <c r="F928" s="53"/>
      <c r="G928" s="559">
        <f>G782</f>
        <v>11.36</v>
      </c>
      <c r="H928" s="561"/>
      <c r="I928" s="563" t="str">
        <f>I782</f>
        <v>علی الحساب</v>
      </c>
    </row>
    <row r="929" spans="1:9" ht="6.6" customHeight="1">
      <c r="A929" s="612"/>
      <c r="B929" s="575"/>
      <c r="C929" s="53"/>
      <c r="D929" s="53"/>
      <c r="E929" s="54"/>
      <c r="F929" s="53"/>
      <c r="G929" s="560"/>
      <c r="H929" s="562"/>
      <c r="I929" s="564"/>
    </row>
    <row r="930" spans="1:9" ht="6.6" customHeight="1">
      <c r="A930" s="612"/>
      <c r="B930" s="574" t="str">
        <f>B784</f>
        <v>عملیات انجام گرفته در زیرزمین ZONE Y1</v>
      </c>
      <c r="C930" s="53"/>
      <c r="D930" s="53"/>
      <c r="E930" s="53"/>
      <c r="F930" s="53"/>
      <c r="G930" s="559">
        <f>G784</f>
        <v>14.43</v>
      </c>
      <c r="H930" s="561"/>
      <c r="I930" s="563" t="str">
        <f>I784</f>
        <v>علی الحساب</v>
      </c>
    </row>
    <row r="931" spans="1:9" ht="6.6" customHeight="1">
      <c r="A931" s="612"/>
      <c r="B931" s="575"/>
      <c r="C931" s="53"/>
      <c r="D931" s="53"/>
      <c r="E931" s="54"/>
      <c r="F931" s="53"/>
      <c r="G931" s="560"/>
      <c r="H931" s="562"/>
      <c r="I931" s="564"/>
    </row>
    <row r="932" spans="1:9" ht="6.6" customHeight="1">
      <c r="A932" s="612"/>
      <c r="B932" s="574" t="str">
        <f>B130</f>
        <v>عملیات انجام گرفته در زیرزمین ZONE Y2</v>
      </c>
      <c r="C932" s="53"/>
      <c r="D932" s="53"/>
      <c r="E932" s="53"/>
      <c r="F932" s="53"/>
      <c r="G932" s="559">
        <v>23.61</v>
      </c>
      <c r="H932" s="561"/>
      <c r="I932" s="576" t="str">
        <f>I130</f>
        <v>علی الحساب</v>
      </c>
    </row>
    <row r="933" spans="1:9" ht="6.6" customHeight="1">
      <c r="A933" s="612"/>
      <c r="B933" s="575"/>
      <c r="C933" s="53"/>
      <c r="D933" s="53"/>
      <c r="E933" s="54"/>
      <c r="F933" s="53"/>
      <c r="G933" s="560"/>
      <c r="H933" s="562"/>
      <c r="I933" s="577"/>
    </row>
    <row r="934" spans="1:9" ht="6.6" customHeight="1">
      <c r="A934" s="612"/>
      <c r="B934" s="574" t="str">
        <f>B132</f>
        <v>عملیات انجام گرفته در زیرزمین ZONE Y3</v>
      </c>
      <c r="C934" s="53"/>
      <c r="D934" s="53"/>
      <c r="E934" s="53"/>
      <c r="F934" s="53"/>
      <c r="G934" s="559">
        <v>34.56</v>
      </c>
      <c r="H934" s="561"/>
      <c r="I934" s="576" t="str">
        <f>I132</f>
        <v>علی الحساب</v>
      </c>
    </row>
    <row r="935" spans="1:9" ht="6.6" customHeight="1">
      <c r="A935" s="612"/>
      <c r="B935" s="575"/>
      <c r="C935" s="53"/>
      <c r="D935" s="53"/>
      <c r="E935" s="54"/>
      <c r="F935" s="53"/>
      <c r="G935" s="560"/>
      <c r="H935" s="562"/>
      <c r="I935" s="577"/>
    </row>
    <row r="936" spans="1:9" ht="6.6" customHeight="1">
      <c r="A936" s="612"/>
      <c r="B936" s="574" t="str">
        <f>B916</f>
        <v>بتن بر روی پشت بام  ZONE Z ,</v>
      </c>
      <c r="C936" s="53"/>
      <c r="D936" s="53"/>
      <c r="E936" s="53"/>
      <c r="F936" s="53"/>
      <c r="G936" s="559">
        <f>G916</f>
        <v>150</v>
      </c>
      <c r="H936" s="561"/>
      <c r="I936" s="576" t="str">
        <f>I916</f>
        <v>علی الحساب</v>
      </c>
    </row>
    <row r="937" spans="1:9" ht="6.6" customHeight="1">
      <c r="A937" s="612"/>
      <c r="B937" s="575"/>
      <c r="C937" s="53"/>
      <c r="D937" s="53"/>
      <c r="E937" s="54"/>
      <c r="F937" s="53"/>
      <c r="G937" s="560"/>
      <c r="H937" s="562"/>
      <c r="I937" s="577"/>
    </row>
    <row r="938" spans="1:9" ht="12.75" customHeight="1">
      <c r="A938" s="613"/>
      <c r="B938" s="565" t="s">
        <v>33</v>
      </c>
      <c r="C938" s="566"/>
      <c r="D938" s="566"/>
      <c r="E938" s="567"/>
      <c r="F938" s="299" t="str">
        <f>A919</f>
        <v>080306</v>
      </c>
      <c r="G938" s="300">
        <f>SUM(G920:G937)</f>
        <v>386.39000000000004</v>
      </c>
      <c r="H938" s="301">
        <f>SUM(H920:H921)</f>
        <v>0</v>
      </c>
      <c r="I938" s="302" t="str">
        <f>IF(F938="","",VLOOKUP(F938,'ابنیه 95'!$A:$E,3,FALSE))</f>
        <v>مترمکعب</v>
      </c>
    </row>
    <row r="939" spans="1:9" ht="12" customHeight="1">
      <c r="A939" s="551" t="s">
        <v>777</v>
      </c>
      <c r="B939" s="571" t="str">
        <f>IF(A939="","",VLOOKUP(A939,'ابنیه 95'!$A:$E,2,FALSE))</f>
        <v>اضافه بها براي هرنوع بتن‌ريزي كه پايين تراز آب انجام شود و آبكشي حين انجام كار با تلمبه موتوري الزامي باشد.</v>
      </c>
      <c r="C939" s="572"/>
      <c r="D939" s="572"/>
      <c r="E939" s="572"/>
      <c r="F939" s="572"/>
      <c r="G939" s="572"/>
      <c r="H939" s="572"/>
      <c r="I939" s="573"/>
    </row>
    <row r="940" spans="1:9" ht="6.6" customHeight="1">
      <c r="A940" s="612"/>
      <c r="B940" s="584" t="str">
        <f>B770</f>
        <v xml:space="preserve">بتن مگر ساختمانهای ZONE Z,Y </v>
      </c>
      <c r="C940" s="53"/>
      <c r="D940" s="53"/>
      <c r="E940" s="53"/>
      <c r="F940" s="53"/>
      <c r="G940" s="559">
        <f>G770</f>
        <v>91.26</v>
      </c>
      <c r="H940" s="561"/>
      <c r="I940" s="563" t="str">
        <f>I770</f>
        <v>صورتجلسه شماره: 2</v>
      </c>
    </row>
    <row r="941" spans="1:9" ht="6.6" customHeight="1">
      <c r="A941" s="612"/>
      <c r="B941" s="585"/>
      <c r="C941" s="53"/>
      <c r="D941" s="53"/>
      <c r="E941" s="54"/>
      <c r="F941" s="53"/>
      <c r="G941" s="560"/>
      <c r="H941" s="562"/>
      <c r="I941" s="564"/>
    </row>
    <row r="942" spans="1:9" ht="6.6" customHeight="1">
      <c r="A942" s="612"/>
      <c r="B942" s="584" t="str">
        <f>B808</f>
        <v xml:space="preserve">فونداسیون  ZONE Z1 </v>
      </c>
      <c r="C942" s="53"/>
      <c r="D942" s="53"/>
      <c r="E942" s="53"/>
      <c r="F942" s="53"/>
      <c r="G942" s="559">
        <f>G808</f>
        <v>20.41</v>
      </c>
      <c r="H942" s="561"/>
      <c r="I942" s="563" t="str">
        <f>I808</f>
        <v>صورتجلسه شماره: 3</v>
      </c>
    </row>
    <row r="943" spans="1:9" ht="6.6" customHeight="1">
      <c r="A943" s="612"/>
      <c r="B943" s="585"/>
      <c r="C943" s="53"/>
      <c r="D943" s="53"/>
      <c r="E943" s="54"/>
      <c r="F943" s="53"/>
      <c r="G943" s="560"/>
      <c r="H943" s="562"/>
      <c r="I943" s="564"/>
    </row>
    <row r="944" spans="1:9" ht="6.6" customHeight="1">
      <c r="A944" s="612"/>
      <c r="B944" s="584" t="str">
        <f>B810</f>
        <v>فونداسیون  ZONE Z2</v>
      </c>
      <c r="C944" s="53"/>
      <c r="D944" s="53"/>
      <c r="E944" s="53"/>
      <c r="F944" s="53"/>
      <c r="G944" s="559">
        <f>G810</f>
        <v>89.6</v>
      </c>
      <c r="H944" s="561"/>
      <c r="I944" s="563" t="str">
        <f>I810</f>
        <v>صورتجلسه شماره: 4</v>
      </c>
    </row>
    <row r="945" spans="1:9" ht="6.6" customHeight="1">
      <c r="A945" s="612"/>
      <c r="B945" s="585"/>
      <c r="C945" s="53"/>
      <c r="D945" s="53"/>
      <c r="E945" s="54"/>
      <c r="F945" s="53"/>
      <c r="G945" s="560"/>
      <c r="H945" s="562"/>
      <c r="I945" s="564"/>
    </row>
    <row r="946" spans="1:9" ht="6.6" customHeight="1">
      <c r="A946" s="612"/>
      <c r="B946" s="584" t="str">
        <f>B812</f>
        <v>فونداسیون  ZONE Z3</v>
      </c>
      <c r="C946" s="53"/>
      <c r="D946" s="53"/>
      <c r="E946" s="53"/>
      <c r="F946" s="53"/>
      <c r="G946" s="559">
        <f>G812</f>
        <v>80.319999999999993</v>
      </c>
      <c r="H946" s="561"/>
      <c r="I946" s="563" t="str">
        <f>I812</f>
        <v>صورتجلسه شماره: 5</v>
      </c>
    </row>
    <row r="947" spans="1:9" ht="6.6" customHeight="1">
      <c r="A947" s="612"/>
      <c r="B947" s="585"/>
      <c r="C947" s="53"/>
      <c r="D947" s="53"/>
      <c r="E947" s="54"/>
      <c r="F947" s="53"/>
      <c r="G947" s="560"/>
      <c r="H947" s="562"/>
      <c r="I947" s="564"/>
    </row>
    <row r="948" spans="1:9" ht="6.6" customHeight="1">
      <c r="A948" s="612"/>
      <c r="B948" s="584" t="str">
        <f>B814</f>
        <v>فونداسیون  ZONE Z4</v>
      </c>
      <c r="C948" s="53"/>
      <c r="D948" s="53"/>
      <c r="E948" s="53"/>
      <c r="F948" s="53"/>
      <c r="G948" s="559">
        <f>G814</f>
        <v>121.59</v>
      </c>
      <c r="H948" s="561"/>
      <c r="I948" s="563" t="str">
        <f>I814</f>
        <v>صورتجلسه شماره: 6</v>
      </c>
    </row>
    <row r="949" spans="1:9" ht="6.6" customHeight="1">
      <c r="A949" s="612"/>
      <c r="B949" s="585"/>
      <c r="C949" s="53"/>
      <c r="D949" s="53"/>
      <c r="E949" s="54"/>
      <c r="F949" s="53"/>
      <c r="G949" s="560"/>
      <c r="H949" s="562"/>
      <c r="I949" s="564"/>
    </row>
    <row r="950" spans="1:9" ht="6.6" customHeight="1">
      <c r="A950" s="612"/>
      <c r="B950" s="584" t="str">
        <f>B816</f>
        <v>فونداسیون  ZONE Z5</v>
      </c>
      <c r="C950" s="53"/>
      <c r="D950" s="53"/>
      <c r="E950" s="53"/>
      <c r="F950" s="53"/>
      <c r="G950" s="559">
        <f>G816</f>
        <v>27.73</v>
      </c>
      <c r="H950" s="561"/>
      <c r="I950" s="563" t="str">
        <f>I816</f>
        <v>صورتجلسه شماره: 7</v>
      </c>
    </row>
    <row r="951" spans="1:9" ht="6.6" customHeight="1">
      <c r="A951" s="612"/>
      <c r="B951" s="585"/>
      <c r="C951" s="53"/>
      <c r="D951" s="53"/>
      <c r="E951" s="54"/>
      <c r="F951" s="53"/>
      <c r="G951" s="560"/>
      <c r="H951" s="562"/>
      <c r="I951" s="564"/>
    </row>
    <row r="952" spans="1:9" ht="6.6" customHeight="1">
      <c r="A952" s="612"/>
      <c r="B952" s="584" t="str">
        <f>B818</f>
        <v>فونداسیون  ZONE Y1</v>
      </c>
      <c r="C952" s="53"/>
      <c r="D952" s="53"/>
      <c r="E952" s="53"/>
      <c r="F952" s="53"/>
      <c r="G952" s="559">
        <f>G818</f>
        <v>29.62</v>
      </c>
      <c r="H952" s="561"/>
      <c r="I952" s="563" t="str">
        <f>I818</f>
        <v>صورتجلسه شماره: 8</v>
      </c>
    </row>
    <row r="953" spans="1:9" ht="6.6" customHeight="1">
      <c r="A953" s="612"/>
      <c r="B953" s="585"/>
      <c r="C953" s="53"/>
      <c r="D953" s="53"/>
      <c r="E953" s="54"/>
      <c r="F953" s="53"/>
      <c r="G953" s="560"/>
      <c r="H953" s="562"/>
      <c r="I953" s="564"/>
    </row>
    <row r="954" spans="1:9" ht="6.6" customHeight="1">
      <c r="A954" s="612"/>
      <c r="B954" s="584" t="str">
        <f>B820</f>
        <v>فونداسیون  ZONE Y2</v>
      </c>
      <c r="C954" s="53"/>
      <c r="D954" s="53"/>
      <c r="E954" s="53"/>
      <c r="F954" s="53"/>
      <c r="G954" s="559">
        <f>G820</f>
        <v>46.08</v>
      </c>
      <c r="H954" s="561"/>
      <c r="I954" s="563" t="str">
        <f>I820</f>
        <v>صورتجلسه شماره: 9</v>
      </c>
    </row>
    <row r="955" spans="1:9" ht="6.6" customHeight="1">
      <c r="A955" s="612"/>
      <c r="B955" s="585"/>
      <c r="C955" s="53"/>
      <c r="D955" s="53"/>
      <c r="E955" s="54"/>
      <c r="F955" s="53"/>
      <c r="G955" s="560"/>
      <c r="H955" s="562"/>
      <c r="I955" s="564"/>
    </row>
    <row r="956" spans="1:9" ht="6.6" customHeight="1">
      <c r="A956" s="612"/>
      <c r="B956" s="584" t="str">
        <f>B822</f>
        <v>فونداسیون  ZONE Y3</v>
      </c>
      <c r="C956" s="53"/>
      <c r="D956" s="53"/>
      <c r="E956" s="53"/>
      <c r="F956" s="53"/>
      <c r="G956" s="559">
        <f>G822</f>
        <v>65.09</v>
      </c>
      <c r="H956" s="561"/>
      <c r="I956" s="563" t="str">
        <f>I822</f>
        <v>صورتجلسه شماره: 10</v>
      </c>
    </row>
    <row r="957" spans="1:9" ht="6.6" customHeight="1">
      <c r="A957" s="612"/>
      <c r="B957" s="585"/>
      <c r="C957" s="53"/>
      <c r="D957" s="53"/>
      <c r="E957" s="54"/>
      <c r="F957" s="53"/>
      <c r="G957" s="560"/>
      <c r="H957" s="562"/>
      <c r="I957" s="564"/>
    </row>
    <row r="958" spans="1:9" ht="12" customHeight="1">
      <c r="A958" s="613"/>
      <c r="B958" s="565" t="s">
        <v>33</v>
      </c>
      <c r="C958" s="566"/>
      <c r="D958" s="566"/>
      <c r="E958" s="567"/>
      <c r="F958" s="299" t="str">
        <f>A939</f>
        <v>080307</v>
      </c>
      <c r="G958" s="300">
        <f>SUM(G940:G957)</f>
        <v>571.69999999999993</v>
      </c>
      <c r="H958" s="301">
        <f>SUM(H940:H941)</f>
        <v>0</v>
      </c>
      <c r="I958" s="302" t="str">
        <f>IF(F958="","",VLOOKUP(F958,'ابنیه 95'!$A:$E,3,FALSE))</f>
        <v>مترمکعب</v>
      </c>
    </row>
    <row r="959" spans="1:9" ht="11.25" customHeight="1">
      <c r="A959" s="614" t="s">
        <v>1</v>
      </c>
      <c r="B959" s="571" t="str">
        <f>IF(A959="","",VLOOKUP(A959,'ابنیه 95'!$A:$E,2,FALSE))</f>
        <v>اضافه بها به رديف‌هاي بتن‌ريزي، در صورت مصرف بتن در بتن مسلح.</v>
      </c>
      <c r="C959" s="572"/>
      <c r="D959" s="572"/>
      <c r="E959" s="572"/>
      <c r="F959" s="572"/>
      <c r="G959" s="572"/>
      <c r="H959" s="572"/>
      <c r="I959" s="573"/>
    </row>
    <row r="960" spans="1:9" ht="6.6" customHeight="1">
      <c r="A960" s="615"/>
      <c r="B960" s="584" t="str">
        <f>B942</f>
        <v xml:space="preserve">فونداسیون  ZONE Z1 </v>
      </c>
      <c r="C960" s="53"/>
      <c r="D960" s="53"/>
      <c r="E960" s="53"/>
      <c r="F960" s="53"/>
      <c r="G960" s="559">
        <f>G942</f>
        <v>20.41</v>
      </c>
      <c r="H960" s="561"/>
      <c r="I960" s="563" t="str">
        <f>I942</f>
        <v>صورتجلسه شماره: 3</v>
      </c>
    </row>
    <row r="961" spans="1:9" ht="6.6" customHeight="1">
      <c r="A961" s="615"/>
      <c r="B961" s="585"/>
      <c r="C961" s="53"/>
      <c r="D961" s="53"/>
      <c r="E961" s="54"/>
      <c r="F961" s="53"/>
      <c r="G961" s="560"/>
      <c r="H961" s="562"/>
      <c r="I961" s="564"/>
    </row>
    <row r="962" spans="1:9" ht="6.6" customHeight="1">
      <c r="A962" s="615"/>
      <c r="B962" s="584" t="str">
        <f>B944</f>
        <v>فونداسیون  ZONE Z2</v>
      </c>
      <c r="C962" s="53"/>
      <c r="D962" s="53"/>
      <c r="E962" s="53"/>
      <c r="F962" s="53"/>
      <c r="G962" s="559">
        <f t="shared" ref="G962" si="70">G944</f>
        <v>89.6</v>
      </c>
      <c r="H962" s="561"/>
      <c r="I962" s="563" t="str">
        <f>I944</f>
        <v>صورتجلسه شماره: 4</v>
      </c>
    </row>
    <row r="963" spans="1:9" ht="6.6" customHeight="1">
      <c r="A963" s="615"/>
      <c r="B963" s="585"/>
      <c r="C963" s="53"/>
      <c r="D963" s="53"/>
      <c r="E963" s="54"/>
      <c r="F963" s="53"/>
      <c r="G963" s="560"/>
      <c r="H963" s="562"/>
      <c r="I963" s="564"/>
    </row>
    <row r="964" spans="1:9" ht="6.6" customHeight="1">
      <c r="A964" s="615"/>
      <c r="B964" s="584" t="str">
        <f>B946</f>
        <v>فونداسیون  ZONE Z3</v>
      </c>
      <c r="C964" s="53"/>
      <c r="D964" s="53"/>
      <c r="E964" s="53"/>
      <c r="F964" s="53"/>
      <c r="G964" s="559">
        <f t="shared" ref="G964" si="71">G946</f>
        <v>80.319999999999993</v>
      </c>
      <c r="H964" s="561"/>
      <c r="I964" s="563" t="str">
        <f>I946</f>
        <v>صورتجلسه شماره: 5</v>
      </c>
    </row>
    <row r="965" spans="1:9" ht="6.6" customHeight="1">
      <c r="A965" s="615"/>
      <c r="B965" s="585"/>
      <c r="C965" s="53"/>
      <c r="D965" s="53"/>
      <c r="E965" s="54"/>
      <c r="F965" s="53"/>
      <c r="G965" s="560"/>
      <c r="H965" s="562"/>
      <c r="I965" s="564"/>
    </row>
    <row r="966" spans="1:9" ht="6.6" customHeight="1">
      <c r="A966" s="615"/>
      <c r="B966" s="584" t="str">
        <f>B948</f>
        <v>فونداسیون  ZONE Z4</v>
      </c>
      <c r="C966" s="53"/>
      <c r="D966" s="53"/>
      <c r="E966" s="53"/>
      <c r="F966" s="53"/>
      <c r="G966" s="559">
        <f t="shared" ref="G966" si="72">G948</f>
        <v>121.59</v>
      </c>
      <c r="H966" s="561"/>
      <c r="I966" s="563" t="str">
        <f>I948</f>
        <v>صورتجلسه شماره: 6</v>
      </c>
    </row>
    <row r="967" spans="1:9" ht="6.6" customHeight="1">
      <c r="A967" s="615"/>
      <c r="B967" s="585"/>
      <c r="C967" s="53"/>
      <c r="D967" s="53"/>
      <c r="E967" s="54"/>
      <c r="F967" s="53"/>
      <c r="G967" s="560"/>
      <c r="H967" s="562"/>
      <c r="I967" s="564"/>
    </row>
    <row r="968" spans="1:9" ht="6.6" customHeight="1">
      <c r="A968" s="615"/>
      <c r="B968" s="584" t="str">
        <f>B950</f>
        <v>فونداسیون  ZONE Z5</v>
      </c>
      <c r="C968" s="53"/>
      <c r="D968" s="53"/>
      <c r="E968" s="53"/>
      <c r="F968" s="53"/>
      <c r="G968" s="559">
        <f t="shared" ref="G968" si="73">G950</f>
        <v>27.73</v>
      </c>
      <c r="H968" s="561"/>
      <c r="I968" s="563" t="str">
        <f>I950</f>
        <v>صورتجلسه شماره: 7</v>
      </c>
    </row>
    <row r="969" spans="1:9" ht="6.6" customHeight="1">
      <c r="A969" s="615"/>
      <c r="B969" s="585"/>
      <c r="C969" s="53"/>
      <c r="D969" s="53"/>
      <c r="E969" s="54"/>
      <c r="F969" s="53"/>
      <c r="G969" s="560"/>
      <c r="H969" s="562"/>
      <c r="I969" s="564"/>
    </row>
    <row r="970" spans="1:9" ht="6.6" customHeight="1">
      <c r="A970" s="615"/>
      <c r="B970" s="584" t="str">
        <f>B952</f>
        <v>فونداسیون  ZONE Y1</v>
      </c>
      <c r="C970" s="53"/>
      <c r="D970" s="53"/>
      <c r="E970" s="53"/>
      <c r="F970" s="53"/>
      <c r="G970" s="559">
        <f t="shared" ref="G970" si="74">G952</f>
        <v>29.62</v>
      </c>
      <c r="H970" s="561"/>
      <c r="I970" s="563" t="str">
        <f>I952</f>
        <v>صورتجلسه شماره: 8</v>
      </c>
    </row>
    <row r="971" spans="1:9" ht="6.6" customHeight="1">
      <c r="A971" s="615"/>
      <c r="B971" s="585"/>
      <c r="C971" s="53"/>
      <c r="D971" s="53"/>
      <c r="E971" s="54"/>
      <c r="F971" s="53"/>
      <c r="G971" s="560"/>
      <c r="H971" s="562"/>
      <c r="I971" s="564"/>
    </row>
    <row r="972" spans="1:9" ht="6.6" customHeight="1">
      <c r="A972" s="615"/>
      <c r="B972" s="584" t="str">
        <f>B954</f>
        <v>فونداسیون  ZONE Y2</v>
      </c>
      <c r="C972" s="53"/>
      <c r="D972" s="53"/>
      <c r="E972" s="53"/>
      <c r="F972" s="53"/>
      <c r="G972" s="559">
        <f t="shared" ref="G972" si="75">G954</f>
        <v>46.08</v>
      </c>
      <c r="H972" s="561"/>
      <c r="I972" s="563" t="str">
        <f>I954</f>
        <v>صورتجلسه شماره: 9</v>
      </c>
    </row>
    <row r="973" spans="1:9" ht="6.6" customHeight="1">
      <c r="A973" s="615"/>
      <c r="B973" s="585"/>
      <c r="C973" s="53"/>
      <c r="D973" s="53"/>
      <c r="E973" s="54"/>
      <c r="F973" s="53"/>
      <c r="G973" s="560"/>
      <c r="H973" s="562"/>
      <c r="I973" s="564"/>
    </row>
    <row r="974" spans="1:9" ht="6.6" customHeight="1">
      <c r="A974" s="615"/>
      <c r="B974" s="584" t="str">
        <f>B956</f>
        <v>فونداسیون  ZONE Y3</v>
      </c>
      <c r="C974" s="53"/>
      <c r="D974" s="53"/>
      <c r="E974" s="53"/>
      <c r="F974" s="53"/>
      <c r="G974" s="559">
        <f t="shared" ref="G974" si="76">G956</f>
        <v>65.09</v>
      </c>
      <c r="H974" s="561"/>
      <c r="I974" s="563" t="str">
        <f>I956</f>
        <v>صورتجلسه شماره: 10</v>
      </c>
    </row>
    <row r="975" spans="1:9" ht="6.6" customHeight="1">
      <c r="A975" s="615"/>
      <c r="B975" s="585"/>
      <c r="C975" s="53"/>
      <c r="D975" s="53"/>
      <c r="E975" s="54"/>
      <c r="F975" s="53"/>
      <c r="G975" s="560"/>
      <c r="H975" s="562"/>
      <c r="I975" s="564"/>
    </row>
    <row r="976" spans="1:9" ht="6.6" customHeight="1">
      <c r="A976" s="615"/>
      <c r="B976" s="584" t="str">
        <f>B826</f>
        <v xml:space="preserve"> ستونهای طبقه زیرزمین   ZONE Z ,Y</v>
      </c>
      <c r="C976" s="53"/>
      <c r="D976" s="53"/>
      <c r="E976" s="53"/>
      <c r="F976" s="53"/>
      <c r="G976" s="559">
        <f>G826</f>
        <v>67.77</v>
      </c>
      <c r="H976" s="561"/>
      <c r="I976" s="563" t="str">
        <f>I826</f>
        <v>صورتجلسه شماره: 11</v>
      </c>
    </row>
    <row r="977" spans="1:9" ht="6.6" customHeight="1">
      <c r="A977" s="615"/>
      <c r="B977" s="585"/>
      <c r="C977" s="53"/>
      <c r="D977" s="53"/>
      <c r="E977" s="54"/>
      <c r="F977" s="53"/>
      <c r="G977" s="560"/>
      <c r="H977" s="562"/>
      <c r="I977" s="564"/>
    </row>
    <row r="978" spans="1:9" ht="6.6" customHeight="1">
      <c r="A978" s="615"/>
      <c r="B978" s="584" t="str">
        <f>B844</f>
        <v xml:space="preserve"> ستونهای طبقه اول  مرحله اول ZONE Z1</v>
      </c>
      <c r="C978" s="53"/>
      <c r="D978" s="53"/>
      <c r="E978" s="53"/>
      <c r="F978" s="53"/>
      <c r="G978" s="559">
        <f>G844</f>
        <v>3.19</v>
      </c>
      <c r="H978" s="561"/>
      <c r="I978" s="589" t="str">
        <f>I844</f>
        <v>علی الحساب</v>
      </c>
    </row>
    <row r="979" spans="1:9" ht="6.6" customHeight="1">
      <c r="A979" s="615"/>
      <c r="B979" s="585"/>
      <c r="C979" s="53"/>
      <c r="D979" s="53"/>
      <c r="E979" s="54"/>
      <c r="F979" s="53"/>
      <c r="G979" s="560"/>
      <c r="H979" s="562"/>
      <c r="I979" s="590"/>
    </row>
    <row r="980" spans="1:9" ht="6.6" customHeight="1">
      <c r="A980" s="615"/>
      <c r="B980" s="584" t="str">
        <f>B846</f>
        <v xml:space="preserve"> ستونهای طبقه اول  مرحله اول ZONE Z2</v>
      </c>
      <c r="C980" s="53"/>
      <c r="D980" s="53"/>
      <c r="E980" s="53"/>
      <c r="F980" s="53"/>
      <c r="G980" s="559">
        <f>G846</f>
        <v>16.95</v>
      </c>
      <c r="H980" s="561"/>
      <c r="I980" s="589" t="str">
        <f>I846</f>
        <v>علی الحساب</v>
      </c>
    </row>
    <row r="981" spans="1:9" ht="6.6" customHeight="1">
      <c r="A981" s="615"/>
      <c r="B981" s="585"/>
      <c r="C981" s="53"/>
      <c r="D981" s="53"/>
      <c r="E981" s="54"/>
      <c r="F981" s="53"/>
      <c r="G981" s="560"/>
      <c r="H981" s="562"/>
      <c r="I981" s="590"/>
    </row>
    <row r="982" spans="1:9" ht="6.6" customHeight="1">
      <c r="A982" s="615"/>
      <c r="B982" s="584" t="str">
        <f>B848</f>
        <v xml:space="preserve"> ستونهای طبقه اول  مرحله اول ZONE Z3</v>
      </c>
      <c r="C982" s="53"/>
      <c r="D982" s="53"/>
      <c r="E982" s="53"/>
      <c r="F982" s="53"/>
      <c r="G982" s="559">
        <f>G848</f>
        <v>13.15</v>
      </c>
      <c r="H982" s="561"/>
      <c r="I982" s="589" t="str">
        <f>I848</f>
        <v>علی الحساب</v>
      </c>
    </row>
    <row r="983" spans="1:9" ht="6.6" customHeight="1">
      <c r="A983" s="615"/>
      <c r="B983" s="585"/>
      <c r="C983" s="53"/>
      <c r="D983" s="53"/>
      <c r="E983" s="54"/>
      <c r="F983" s="53"/>
      <c r="G983" s="560"/>
      <c r="H983" s="562"/>
      <c r="I983" s="590"/>
    </row>
    <row r="984" spans="1:9" ht="6.6" customHeight="1">
      <c r="A984" s="615"/>
      <c r="B984" s="584" t="str">
        <f>B850</f>
        <v xml:space="preserve"> ستونهای طبقه اول  مرحله اول ZONE Z4</v>
      </c>
      <c r="C984" s="53"/>
      <c r="D984" s="53"/>
      <c r="E984" s="53"/>
      <c r="F984" s="53"/>
      <c r="G984" s="559">
        <f>G850</f>
        <v>22.77</v>
      </c>
      <c r="H984" s="561"/>
      <c r="I984" s="589" t="str">
        <f>I850</f>
        <v>علی الحساب</v>
      </c>
    </row>
    <row r="985" spans="1:9" ht="6.6" customHeight="1">
      <c r="A985" s="615"/>
      <c r="B985" s="585"/>
      <c r="C985" s="53"/>
      <c r="D985" s="53"/>
      <c r="E985" s="54"/>
      <c r="F985" s="53"/>
      <c r="G985" s="560"/>
      <c r="H985" s="562"/>
      <c r="I985" s="590"/>
    </row>
    <row r="986" spans="1:9" ht="6.6" customHeight="1">
      <c r="A986" s="615"/>
      <c r="B986" s="584" t="str">
        <f>B852</f>
        <v xml:space="preserve"> ستونهای طبقه اول  مرحله اول ZONE Z5</v>
      </c>
      <c r="C986" s="53"/>
      <c r="D986" s="53"/>
      <c r="E986" s="53"/>
      <c r="F986" s="53"/>
      <c r="G986" s="559">
        <f>G852</f>
        <v>4.18</v>
      </c>
      <c r="H986" s="561"/>
      <c r="I986" s="589" t="str">
        <f>I852</f>
        <v>علی الحساب</v>
      </c>
    </row>
    <row r="987" spans="1:9" ht="6.6" customHeight="1">
      <c r="A987" s="615"/>
      <c r="B987" s="585"/>
      <c r="C987" s="53"/>
      <c r="D987" s="53"/>
      <c r="E987" s="54"/>
      <c r="F987" s="53"/>
      <c r="G987" s="560"/>
      <c r="H987" s="562"/>
      <c r="I987" s="590"/>
    </row>
    <row r="988" spans="1:9" ht="6.6" customHeight="1">
      <c r="A988" s="615"/>
      <c r="B988" s="584" t="str">
        <f>B854</f>
        <v xml:space="preserve"> ستونهای طبقه اول  مرحله اول ZONE Y1</v>
      </c>
      <c r="C988" s="53"/>
      <c r="D988" s="53"/>
      <c r="E988" s="53"/>
      <c r="F988" s="53"/>
      <c r="G988" s="559">
        <f>G854</f>
        <v>5.31</v>
      </c>
      <c r="H988" s="561"/>
      <c r="I988" s="589" t="str">
        <f>I854</f>
        <v>علی الحساب</v>
      </c>
    </row>
    <row r="989" spans="1:9" ht="6.6" customHeight="1">
      <c r="A989" s="615"/>
      <c r="B989" s="585"/>
      <c r="C989" s="53"/>
      <c r="D989" s="53"/>
      <c r="E989" s="54"/>
      <c r="F989" s="53"/>
      <c r="G989" s="560"/>
      <c r="H989" s="562"/>
      <c r="I989" s="590"/>
    </row>
    <row r="990" spans="1:9" ht="6.6" customHeight="1">
      <c r="A990" s="615"/>
      <c r="B990" s="584" t="str">
        <f>B856</f>
        <v xml:space="preserve"> ستونهای طبقه اول  مرحله اول ZONE Y2</v>
      </c>
      <c r="C990" s="53"/>
      <c r="D990" s="53"/>
      <c r="E990" s="53"/>
      <c r="F990" s="53"/>
      <c r="G990" s="559">
        <f>G856</f>
        <v>8.68</v>
      </c>
      <c r="H990" s="561"/>
      <c r="I990" s="589" t="str">
        <f>I856</f>
        <v>علی الحساب</v>
      </c>
    </row>
    <row r="991" spans="1:9" ht="6.6" customHeight="1">
      <c r="A991" s="615"/>
      <c r="B991" s="585"/>
      <c r="C991" s="53"/>
      <c r="D991" s="53"/>
      <c r="E991" s="54"/>
      <c r="F991" s="53"/>
      <c r="G991" s="560"/>
      <c r="H991" s="562"/>
      <c r="I991" s="590"/>
    </row>
    <row r="992" spans="1:9" ht="6.6" customHeight="1">
      <c r="A992" s="615"/>
      <c r="B992" s="584" t="str">
        <f>B858</f>
        <v xml:space="preserve"> ستونهای طبقه اول  مرحله اول ZONE Y3</v>
      </c>
      <c r="C992" s="53"/>
      <c r="D992" s="53"/>
      <c r="E992" s="53"/>
      <c r="F992" s="53"/>
      <c r="G992" s="559">
        <f>G858</f>
        <v>12.71</v>
      </c>
      <c r="H992" s="561"/>
      <c r="I992" s="589" t="str">
        <f>I858</f>
        <v>علی الحساب</v>
      </c>
    </row>
    <row r="993" spans="1:9" ht="6.6" customHeight="1">
      <c r="A993" s="615"/>
      <c r="B993" s="585"/>
      <c r="C993" s="53"/>
      <c r="D993" s="53"/>
      <c r="E993" s="54"/>
      <c r="F993" s="53"/>
      <c r="G993" s="560"/>
      <c r="H993" s="562"/>
      <c r="I993" s="590"/>
    </row>
    <row r="994" spans="1:9" ht="6.6" customHeight="1">
      <c r="A994" s="615"/>
      <c r="B994" s="584" t="str">
        <f>B860</f>
        <v xml:space="preserve"> ستونهای طبقه اول  مرحله دوم ZONE Z1</v>
      </c>
      <c r="C994" s="53"/>
      <c r="D994" s="53"/>
      <c r="E994" s="53"/>
      <c r="F994" s="53"/>
      <c r="G994" s="559">
        <f>G860</f>
        <v>3.19</v>
      </c>
      <c r="H994" s="561"/>
      <c r="I994" s="589" t="str">
        <f>I860</f>
        <v>علی الحساب</v>
      </c>
    </row>
    <row r="995" spans="1:9" ht="6.6" customHeight="1">
      <c r="A995" s="615"/>
      <c r="B995" s="585"/>
      <c r="C995" s="53"/>
      <c r="D995" s="53"/>
      <c r="E995" s="54"/>
      <c r="F995" s="53"/>
      <c r="G995" s="560"/>
      <c r="H995" s="562"/>
      <c r="I995" s="590"/>
    </row>
    <row r="996" spans="1:9" ht="6.6" customHeight="1">
      <c r="A996" s="615"/>
      <c r="B996" s="584" t="str">
        <f>B862</f>
        <v xml:space="preserve"> ستونهای طبقه اول  مرحله دوم ZONE Z2</v>
      </c>
      <c r="C996" s="53"/>
      <c r="D996" s="53"/>
      <c r="E996" s="53"/>
      <c r="F996" s="53"/>
      <c r="G996" s="559">
        <f>G862</f>
        <v>16.95</v>
      </c>
      <c r="H996" s="561"/>
      <c r="I996" s="589" t="str">
        <f>I862</f>
        <v>علی الحساب</v>
      </c>
    </row>
    <row r="997" spans="1:9" ht="6.6" customHeight="1">
      <c r="A997" s="615"/>
      <c r="B997" s="585"/>
      <c r="C997" s="53"/>
      <c r="D997" s="53"/>
      <c r="E997" s="54"/>
      <c r="F997" s="53"/>
      <c r="G997" s="560"/>
      <c r="H997" s="562"/>
      <c r="I997" s="590"/>
    </row>
    <row r="998" spans="1:9" ht="6.6" customHeight="1">
      <c r="A998" s="615"/>
      <c r="B998" s="584" t="str">
        <f>B864</f>
        <v xml:space="preserve"> ستونهای طبقه اول  مرحله دوم ZONE Z3</v>
      </c>
      <c r="C998" s="53"/>
      <c r="D998" s="53"/>
      <c r="E998" s="53"/>
      <c r="F998" s="53"/>
      <c r="G998" s="559">
        <f>G864</f>
        <v>13.15</v>
      </c>
      <c r="H998" s="561"/>
      <c r="I998" s="589" t="str">
        <f>I864</f>
        <v>علی الحساب</v>
      </c>
    </row>
    <row r="999" spans="1:9" ht="6.6" customHeight="1">
      <c r="A999" s="615"/>
      <c r="B999" s="585"/>
      <c r="C999" s="53"/>
      <c r="D999" s="53"/>
      <c r="E999" s="54"/>
      <c r="F999" s="53"/>
      <c r="G999" s="560"/>
      <c r="H999" s="562"/>
      <c r="I999" s="590"/>
    </row>
    <row r="1000" spans="1:9" ht="6.6" customHeight="1">
      <c r="A1000" s="615"/>
      <c r="B1000" s="584" t="str">
        <f>B866</f>
        <v xml:space="preserve"> ستونهای طبقه اول  مرحله دوم ZONE Z4</v>
      </c>
      <c r="C1000" s="53"/>
      <c r="D1000" s="53"/>
      <c r="E1000" s="53"/>
      <c r="F1000" s="53"/>
      <c r="G1000" s="559">
        <f>G866</f>
        <v>22.77</v>
      </c>
      <c r="H1000" s="561"/>
      <c r="I1000" s="589" t="str">
        <f>I866</f>
        <v>علی الحساب</v>
      </c>
    </row>
    <row r="1001" spans="1:9" ht="6.6" customHeight="1">
      <c r="A1001" s="615"/>
      <c r="B1001" s="585"/>
      <c r="C1001" s="53"/>
      <c r="D1001" s="53"/>
      <c r="E1001" s="54"/>
      <c r="F1001" s="53"/>
      <c r="G1001" s="560"/>
      <c r="H1001" s="562"/>
      <c r="I1001" s="590"/>
    </row>
    <row r="1002" spans="1:9" ht="6.6" customHeight="1">
      <c r="A1002" s="615"/>
      <c r="B1002" s="584" t="str">
        <f>B868</f>
        <v xml:space="preserve"> ستونهای طبقه اول  مرحله دوم ZONE Z5</v>
      </c>
      <c r="C1002" s="53"/>
      <c r="D1002" s="53"/>
      <c r="E1002" s="53"/>
      <c r="F1002" s="53"/>
      <c r="G1002" s="559">
        <f>G868</f>
        <v>4.18</v>
      </c>
      <c r="H1002" s="561"/>
      <c r="I1002" s="589" t="str">
        <f>I868</f>
        <v>علی الحساب</v>
      </c>
    </row>
    <row r="1003" spans="1:9" ht="6.6" customHeight="1">
      <c r="A1003" s="615"/>
      <c r="B1003" s="585"/>
      <c r="C1003" s="53"/>
      <c r="D1003" s="53"/>
      <c r="E1003" s="54"/>
      <c r="F1003" s="53"/>
      <c r="G1003" s="560"/>
      <c r="H1003" s="562"/>
      <c r="I1003" s="590"/>
    </row>
    <row r="1004" spans="1:9" ht="6.6" customHeight="1">
      <c r="A1004" s="615"/>
      <c r="B1004" s="584" t="str">
        <f>B870</f>
        <v xml:space="preserve"> ستونهای طبقه اول  مرحله دوم ZONE Y1</v>
      </c>
      <c r="C1004" s="53"/>
      <c r="D1004" s="53"/>
      <c r="E1004" s="53"/>
      <c r="F1004" s="53"/>
      <c r="G1004" s="559">
        <f>G870</f>
        <v>5.31</v>
      </c>
      <c r="H1004" s="561"/>
      <c r="I1004" s="589" t="str">
        <f>I870</f>
        <v>علی الحساب</v>
      </c>
    </row>
    <row r="1005" spans="1:9" ht="6.6" customHeight="1">
      <c r="A1005" s="615"/>
      <c r="B1005" s="585"/>
      <c r="C1005" s="53"/>
      <c r="D1005" s="53"/>
      <c r="E1005" s="54"/>
      <c r="F1005" s="53"/>
      <c r="G1005" s="560"/>
      <c r="H1005" s="562"/>
      <c r="I1005" s="590"/>
    </row>
    <row r="1006" spans="1:9" ht="6.6" customHeight="1">
      <c r="A1006" s="615"/>
      <c r="B1006" s="584" t="str">
        <f>B872</f>
        <v xml:space="preserve"> ستونهای طبقه اول  مرحله دوم ZONE Y2</v>
      </c>
      <c r="C1006" s="53"/>
      <c r="D1006" s="53"/>
      <c r="E1006" s="53"/>
      <c r="F1006" s="53"/>
      <c r="G1006" s="559">
        <f>G872</f>
        <v>8.68</v>
      </c>
      <c r="H1006" s="561"/>
      <c r="I1006" s="589" t="str">
        <f>I872</f>
        <v>علی الحساب</v>
      </c>
    </row>
    <row r="1007" spans="1:9" ht="6.6" customHeight="1">
      <c r="A1007" s="615"/>
      <c r="B1007" s="585"/>
      <c r="C1007" s="53"/>
      <c r="D1007" s="53"/>
      <c r="E1007" s="54"/>
      <c r="F1007" s="53"/>
      <c r="G1007" s="560"/>
      <c r="H1007" s="562"/>
      <c r="I1007" s="590"/>
    </row>
    <row r="1008" spans="1:9" ht="6.6" customHeight="1">
      <c r="A1008" s="615"/>
      <c r="B1008" s="584" t="str">
        <f>B874</f>
        <v xml:space="preserve"> ستونهای طبقه اول  مرحله دوم ZONE Y3</v>
      </c>
      <c r="C1008" s="53"/>
      <c r="D1008" s="53"/>
      <c r="E1008" s="53"/>
      <c r="F1008" s="53"/>
      <c r="G1008" s="559">
        <f>G874</f>
        <v>12.71</v>
      </c>
      <c r="H1008" s="561"/>
      <c r="I1008" s="589" t="str">
        <f>I874</f>
        <v>علی الحساب</v>
      </c>
    </row>
    <row r="1009" spans="1:9" ht="6.6" customHeight="1">
      <c r="A1009" s="615"/>
      <c r="B1009" s="585"/>
      <c r="C1009" s="53"/>
      <c r="D1009" s="53"/>
      <c r="E1009" s="54"/>
      <c r="F1009" s="53"/>
      <c r="G1009" s="560"/>
      <c r="H1009" s="562"/>
      <c r="I1009" s="590"/>
    </row>
    <row r="1010" spans="1:9" ht="12" customHeight="1">
      <c r="A1010" s="616"/>
      <c r="B1010" s="565" t="s">
        <v>33</v>
      </c>
      <c r="C1010" s="566"/>
      <c r="D1010" s="566"/>
      <c r="E1010" s="567"/>
      <c r="F1010" s="299" t="str">
        <f>A959</f>
        <v>080310</v>
      </c>
      <c r="G1010" s="300">
        <f>SUM(G960:G1009)</f>
        <v>722.0899999999998</v>
      </c>
      <c r="H1010" s="301">
        <f>SUM(H960:H961)</f>
        <v>0</v>
      </c>
      <c r="I1010" s="302" t="str">
        <f>IF(F1010="","",VLOOKUP(F1010,'ابنیه 95'!$A:$E,3,FALSE))</f>
        <v>مترمکعب</v>
      </c>
    </row>
    <row r="1011" spans="1:9" ht="12" customHeight="1">
      <c r="A1011" s="586" t="s">
        <v>113</v>
      </c>
      <c r="B1011" s="587"/>
      <c r="C1011" s="587"/>
      <c r="D1011" s="587"/>
      <c r="E1011" s="587"/>
      <c r="F1011" s="587"/>
      <c r="G1011" s="587"/>
      <c r="H1011" s="587"/>
      <c r="I1011" s="588"/>
    </row>
    <row r="1012" spans="1:9" ht="12" customHeight="1">
      <c r="A1012" s="551" t="s">
        <v>171</v>
      </c>
      <c r="B1012" s="593" t="str">
        <f>IF(A1012="","",VLOOKUP(A1012,'ابنیه 95'!$A:$E,2,FALSE))</f>
        <v>تهيه و كار گذاشتن تير ساده (تيرريزي ساده) از يك تيرآهن.</v>
      </c>
      <c r="C1012" s="594"/>
      <c r="D1012" s="594"/>
      <c r="E1012" s="594"/>
      <c r="F1012" s="594"/>
      <c r="G1012" s="594"/>
      <c r="H1012" s="594"/>
      <c r="I1012" s="595"/>
    </row>
    <row r="1013" spans="1:9" ht="9" customHeight="1">
      <c r="A1013" s="591"/>
      <c r="B1013" s="584" t="str">
        <f>B1000</f>
        <v xml:space="preserve"> ستونهای طبقه اول  مرحله دوم ZONE Z4</v>
      </c>
      <c r="C1013" s="53"/>
      <c r="D1013" s="53"/>
      <c r="E1013" s="54"/>
      <c r="F1013" s="53"/>
      <c r="G1013" s="559">
        <v>7.61</v>
      </c>
      <c r="H1013" s="561"/>
      <c r="I1013" s="563" t="str">
        <f>I1000</f>
        <v>علی الحساب</v>
      </c>
    </row>
    <row r="1014" spans="1:9" ht="9" customHeight="1">
      <c r="A1014" s="591"/>
      <c r="B1014" s="585"/>
      <c r="C1014" s="54"/>
      <c r="D1014" s="54"/>
      <c r="E1014" s="54"/>
      <c r="F1014" s="54"/>
      <c r="G1014" s="560"/>
      <c r="H1014" s="562"/>
      <c r="I1014" s="564"/>
    </row>
    <row r="1015" spans="1:9" ht="12" customHeight="1">
      <c r="A1015" s="592"/>
      <c r="B1015" s="565" t="s">
        <v>33</v>
      </c>
      <c r="C1015" s="566"/>
      <c r="D1015" s="566"/>
      <c r="E1015" s="567"/>
      <c r="F1015" s="299" t="str">
        <f>A1012</f>
        <v>090201</v>
      </c>
      <c r="G1015" s="300">
        <f>SUM(G1013:G1014)</f>
        <v>7.61</v>
      </c>
      <c r="H1015" s="301"/>
      <c r="I1015" s="302" t="str">
        <f>IF(F1015="","",VLOOKUP(F1015,'ابنیه 95'!$A:$E,3,FALSE))</f>
        <v>کيلوگرم</v>
      </c>
    </row>
    <row r="1016" spans="1:9" ht="12" customHeight="1">
      <c r="A1016" s="551" t="s">
        <v>829</v>
      </c>
      <c r="B1016" s="593" t="str">
        <f>IF(A1016="","",VLOOKUP(A1016,'ابنیه 95'!$A:$E,2,FALSE))</f>
        <v>تهيه، ساخت و نصب جويست (تير مشبك سبك)، متشكل از نبشي، سپري، تسمه و ميل گرد، با جوشكاري و ساييدن.</v>
      </c>
      <c r="C1016" s="594"/>
      <c r="D1016" s="594"/>
      <c r="E1016" s="594"/>
      <c r="F1016" s="594"/>
      <c r="G1016" s="594"/>
      <c r="H1016" s="594"/>
      <c r="I1016" s="595"/>
    </row>
    <row r="1017" spans="1:9" ht="9" customHeight="1">
      <c r="A1017" s="591"/>
      <c r="B1017" s="584" t="s">
        <v>3073</v>
      </c>
      <c r="C1017" s="53"/>
      <c r="D1017" s="53"/>
      <c r="E1017" s="55"/>
      <c r="F1017" s="53"/>
      <c r="G1017" s="559">
        <v>400</v>
      </c>
      <c r="H1017" s="561"/>
      <c r="I1017" s="563" t="s">
        <v>65</v>
      </c>
    </row>
    <row r="1018" spans="1:9" ht="9" customHeight="1">
      <c r="A1018" s="591"/>
      <c r="B1018" s="585"/>
      <c r="C1018" s="54"/>
      <c r="D1018" s="54"/>
      <c r="E1018" s="54"/>
      <c r="F1018" s="54"/>
      <c r="G1018" s="560"/>
      <c r="H1018" s="562"/>
      <c r="I1018" s="564"/>
    </row>
    <row r="1019" spans="1:9" ht="12" customHeight="1">
      <c r="A1019" s="592"/>
      <c r="B1019" s="565" t="s">
        <v>33</v>
      </c>
      <c r="C1019" s="566"/>
      <c r="D1019" s="566"/>
      <c r="E1019" s="567"/>
      <c r="F1019" s="299" t="str">
        <f>A1016</f>
        <v>090207</v>
      </c>
      <c r="G1019" s="404">
        <f>SUM(G1017:G1018)</f>
        <v>400</v>
      </c>
      <c r="H1019" s="405"/>
      <c r="I1019" s="302" t="str">
        <f>IF(F1019="","",VLOOKUP(F1019,'ابنیه 95'!$A:$E,3,FALSE))</f>
        <v>کيلوگرم</v>
      </c>
    </row>
    <row r="1020" spans="1:9" ht="12" customHeight="1">
      <c r="A1020" s="551" t="s">
        <v>115</v>
      </c>
      <c r="B1020" s="593" t="str">
        <f>IF(A1020="","",VLOOKUP(A1020,'ابنیه 95'!$A:$E,2,FALSE))</f>
        <v>تهيه و ساخت قطعات آهني اتصالي و نصب در داخل كارهاي بتني يا بنايي قبل از اجراي كارهاي ياد شده، از نبشي، سپري، ورق، تسمه، ميل گرد، لوله و مانند آن، با شاخك‌هاي لازم، جوشكاري، برشكاري، سوراخكاري و ساييدن، به طوركامل.</v>
      </c>
      <c r="C1020" s="594"/>
      <c r="D1020" s="594"/>
      <c r="E1020" s="594"/>
      <c r="F1020" s="594"/>
      <c r="G1020" s="594"/>
      <c r="H1020" s="594"/>
      <c r="I1020" s="595"/>
    </row>
    <row r="1021" spans="1:9" ht="9" customHeight="1">
      <c r="A1021" s="612"/>
      <c r="B1021" s="584" t="str">
        <f>B960</f>
        <v xml:space="preserve">فونداسیون  ZONE Z1 </v>
      </c>
      <c r="C1021" s="53"/>
      <c r="D1021" s="53"/>
      <c r="E1021" s="54"/>
      <c r="F1021" s="53"/>
      <c r="G1021" s="559">
        <v>3.03</v>
      </c>
      <c r="H1021" s="561"/>
      <c r="I1021" s="563" t="str">
        <f>I960</f>
        <v>صورتجلسه شماره: 3</v>
      </c>
    </row>
    <row r="1022" spans="1:9" ht="9" customHeight="1">
      <c r="A1022" s="612"/>
      <c r="B1022" s="585"/>
      <c r="C1022" s="54"/>
      <c r="D1022" s="54"/>
      <c r="E1022" s="54"/>
      <c r="F1022" s="54"/>
      <c r="G1022" s="560"/>
      <c r="H1022" s="562"/>
      <c r="I1022" s="564"/>
    </row>
    <row r="1023" spans="1:9" ht="9" customHeight="1">
      <c r="A1023" s="612"/>
      <c r="B1023" s="584" t="str">
        <f>B962</f>
        <v>فونداسیون  ZONE Z2</v>
      </c>
      <c r="C1023" s="53"/>
      <c r="D1023" s="53"/>
      <c r="E1023" s="54"/>
      <c r="F1023" s="53"/>
      <c r="G1023" s="559">
        <v>3.03</v>
      </c>
      <c r="H1023" s="561"/>
      <c r="I1023" s="563" t="str">
        <f>I962</f>
        <v>صورتجلسه شماره: 4</v>
      </c>
    </row>
    <row r="1024" spans="1:9" ht="9" customHeight="1">
      <c r="A1024" s="612"/>
      <c r="B1024" s="585"/>
      <c r="C1024" s="54"/>
      <c r="D1024" s="54"/>
      <c r="E1024" s="54"/>
      <c r="F1024" s="54"/>
      <c r="G1024" s="560"/>
      <c r="H1024" s="562"/>
      <c r="I1024" s="564"/>
    </row>
    <row r="1025" spans="1:9" ht="9" customHeight="1">
      <c r="A1025" s="612"/>
      <c r="B1025" s="584" t="str">
        <f>B964</f>
        <v>فونداسیون  ZONE Z3</v>
      </c>
      <c r="C1025" s="53"/>
      <c r="D1025" s="53"/>
      <c r="E1025" s="54"/>
      <c r="F1025" s="53"/>
      <c r="G1025" s="559">
        <v>6.05</v>
      </c>
      <c r="H1025" s="561"/>
      <c r="I1025" s="563" t="str">
        <f>I964</f>
        <v>صورتجلسه شماره: 5</v>
      </c>
    </row>
    <row r="1026" spans="1:9" ht="9" customHeight="1">
      <c r="A1026" s="612"/>
      <c r="B1026" s="585"/>
      <c r="C1026" s="54"/>
      <c r="D1026" s="54"/>
      <c r="E1026" s="54"/>
      <c r="F1026" s="54"/>
      <c r="G1026" s="560"/>
      <c r="H1026" s="562"/>
      <c r="I1026" s="564"/>
    </row>
    <row r="1027" spans="1:9" ht="9" customHeight="1">
      <c r="A1027" s="612"/>
      <c r="B1027" s="584" t="str">
        <f>B966</f>
        <v>فونداسیون  ZONE Z4</v>
      </c>
      <c r="C1027" s="53"/>
      <c r="D1027" s="53"/>
      <c r="E1027" s="54"/>
      <c r="F1027" s="53"/>
      <c r="G1027" s="559">
        <v>10.88</v>
      </c>
      <c r="H1027" s="561"/>
      <c r="I1027" s="563" t="str">
        <f>I966</f>
        <v>صورتجلسه شماره: 6</v>
      </c>
    </row>
    <row r="1028" spans="1:9" ht="9" customHeight="1">
      <c r="A1028" s="612"/>
      <c r="B1028" s="585"/>
      <c r="C1028" s="54"/>
      <c r="D1028" s="54"/>
      <c r="E1028" s="54"/>
      <c r="F1028" s="54"/>
      <c r="G1028" s="560"/>
      <c r="H1028" s="562"/>
      <c r="I1028" s="564"/>
    </row>
    <row r="1029" spans="1:9" ht="9" customHeight="1">
      <c r="A1029" s="612"/>
      <c r="B1029" s="584" t="str">
        <f>B968</f>
        <v>فونداسیون  ZONE Z5</v>
      </c>
      <c r="C1029" s="53"/>
      <c r="D1029" s="53"/>
      <c r="E1029" s="54"/>
      <c r="F1029" s="53"/>
      <c r="G1029" s="559">
        <v>1.5</v>
      </c>
      <c r="H1029" s="561"/>
      <c r="I1029" s="563" t="str">
        <f>I968</f>
        <v>صورتجلسه شماره: 7</v>
      </c>
    </row>
    <row r="1030" spans="1:9" ht="9" customHeight="1">
      <c r="A1030" s="612"/>
      <c r="B1030" s="585"/>
      <c r="C1030" s="54"/>
      <c r="D1030" s="54"/>
      <c r="E1030" s="54"/>
      <c r="F1030" s="54"/>
      <c r="G1030" s="560"/>
      <c r="H1030" s="562"/>
      <c r="I1030" s="564"/>
    </row>
    <row r="1031" spans="1:9" ht="9" customHeight="1">
      <c r="A1031" s="591"/>
      <c r="B1031" s="584" t="str">
        <f>B974</f>
        <v>فونداسیون  ZONE Y3</v>
      </c>
      <c r="C1031" s="53"/>
      <c r="D1031" s="53"/>
      <c r="E1031" s="54"/>
      <c r="F1031" s="53"/>
      <c r="G1031" s="559">
        <v>7.94</v>
      </c>
      <c r="H1031" s="561"/>
      <c r="I1031" s="563" t="str">
        <f>I974</f>
        <v>صورتجلسه شماره: 10</v>
      </c>
    </row>
    <row r="1032" spans="1:9" ht="9" customHeight="1">
      <c r="A1032" s="591"/>
      <c r="B1032" s="585"/>
      <c r="C1032" s="54"/>
      <c r="D1032" s="54"/>
      <c r="E1032" s="54"/>
      <c r="F1032" s="54"/>
      <c r="G1032" s="560"/>
      <c r="H1032" s="562"/>
      <c r="I1032" s="564"/>
    </row>
    <row r="1033" spans="1:9" ht="9" customHeight="1">
      <c r="A1033" s="591"/>
      <c r="B1033" s="584" t="str">
        <f>B976</f>
        <v xml:space="preserve"> ستونهای طبقه زیرزمین   ZONE Z ,Y</v>
      </c>
      <c r="C1033" s="53"/>
      <c r="D1033" s="53"/>
      <c r="E1033" s="54"/>
      <c r="F1033" s="53"/>
      <c r="G1033" s="559">
        <v>14.97</v>
      </c>
      <c r="H1033" s="561"/>
      <c r="I1033" s="563" t="str">
        <f>I976</f>
        <v>صورتجلسه شماره: 11</v>
      </c>
    </row>
    <row r="1034" spans="1:9" ht="9" customHeight="1">
      <c r="A1034" s="591"/>
      <c r="B1034" s="585"/>
      <c r="C1034" s="54"/>
      <c r="D1034" s="54"/>
      <c r="E1034" s="54"/>
      <c r="F1034" s="54"/>
      <c r="G1034" s="560"/>
      <c r="H1034" s="562"/>
      <c r="I1034" s="564"/>
    </row>
    <row r="1035" spans="1:9" ht="9" customHeight="1">
      <c r="A1035" s="591"/>
      <c r="B1035" s="584" t="str">
        <f>B920</f>
        <v>عملیات انجام گرفته در زیرزمین ZONE Z1</v>
      </c>
      <c r="C1035" s="53"/>
      <c r="D1035" s="53"/>
      <c r="E1035" s="54"/>
      <c r="F1035" s="53"/>
      <c r="G1035" s="559">
        <v>79</v>
      </c>
      <c r="H1035" s="561"/>
      <c r="I1035" s="589" t="str">
        <f>I920</f>
        <v>علی الحساب</v>
      </c>
    </row>
    <row r="1036" spans="1:9" ht="9" customHeight="1">
      <c r="A1036" s="591"/>
      <c r="B1036" s="585"/>
      <c r="C1036" s="54"/>
      <c r="D1036" s="54"/>
      <c r="E1036" s="54"/>
      <c r="F1036" s="54"/>
      <c r="G1036" s="560"/>
      <c r="H1036" s="562"/>
      <c r="I1036" s="590"/>
    </row>
    <row r="1037" spans="1:9" ht="9" customHeight="1">
      <c r="A1037" s="591"/>
      <c r="B1037" s="584" t="str">
        <f>B922</f>
        <v>عملیات انجام گرفته در زیرزمین ZONE Z2</v>
      </c>
      <c r="C1037" s="53"/>
      <c r="D1037" s="53"/>
      <c r="E1037" s="54"/>
      <c r="F1037" s="53"/>
      <c r="G1037" s="559">
        <v>419.86</v>
      </c>
      <c r="H1037" s="561"/>
      <c r="I1037" s="589" t="str">
        <f>I922</f>
        <v>علی الحساب</v>
      </c>
    </row>
    <row r="1038" spans="1:9" ht="9" customHeight="1">
      <c r="A1038" s="591"/>
      <c r="B1038" s="585"/>
      <c r="C1038" s="54"/>
      <c r="D1038" s="54"/>
      <c r="E1038" s="54"/>
      <c r="F1038" s="54"/>
      <c r="G1038" s="560"/>
      <c r="H1038" s="562"/>
      <c r="I1038" s="590"/>
    </row>
    <row r="1039" spans="1:9" ht="9" customHeight="1">
      <c r="A1039" s="591"/>
      <c r="B1039" s="584" t="str">
        <f>B924</f>
        <v>عملیات انجام گرفته در زیرزمین ZONE Z3</v>
      </c>
      <c r="C1039" s="53"/>
      <c r="D1039" s="53"/>
      <c r="E1039" s="54"/>
      <c r="F1039" s="53"/>
      <c r="G1039" s="559">
        <v>325.58999999999997</v>
      </c>
      <c r="H1039" s="561"/>
      <c r="I1039" s="589" t="str">
        <f>I924</f>
        <v>علی الحساب</v>
      </c>
    </row>
    <row r="1040" spans="1:9" ht="9" customHeight="1">
      <c r="A1040" s="591"/>
      <c r="B1040" s="585"/>
      <c r="C1040" s="54"/>
      <c r="D1040" s="54"/>
      <c r="E1040" s="54"/>
      <c r="F1040" s="54"/>
      <c r="G1040" s="560"/>
      <c r="H1040" s="562"/>
      <c r="I1040" s="590"/>
    </row>
    <row r="1041" spans="1:9" ht="9" customHeight="1">
      <c r="A1041" s="591"/>
      <c r="B1041" s="584" t="str">
        <f>B926</f>
        <v>عملیات انجام گرفته در زیرزمین ZONE Z4</v>
      </c>
      <c r="C1041" s="53"/>
      <c r="D1041" s="53"/>
      <c r="E1041" s="54"/>
      <c r="F1041" s="53"/>
      <c r="G1041" s="559">
        <v>563.85</v>
      </c>
      <c r="H1041" s="561"/>
      <c r="I1041" s="589" t="str">
        <f>I926</f>
        <v>علی الحساب</v>
      </c>
    </row>
    <row r="1042" spans="1:9" ht="9" customHeight="1">
      <c r="A1042" s="591"/>
      <c r="B1042" s="585"/>
      <c r="C1042" s="54"/>
      <c r="D1042" s="54"/>
      <c r="E1042" s="54"/>
      <c r="F1042" s="54"/>
      <c r="G1042" s="560"/>
      <c r="H1042" s="562"/>
      <c r="I1042" s="590"/>
    </row>
    <row r="1043" spans="1:9" ht="9" customHeight="1">
      <c r="A1043" s="591"/>
      <c r="B1043" s="584" t="str">
        <f>B928</f>
        <v>عملیات انجام گرفته در زیرزمین ZONE Z5</v>
      </c>
      <c r="C1043" s="53"/>
      <c r="D1043" s="53"/>
      <c r="E1043" s="54"/>
      <c r="F1043" s="53"/>
      <c r="G1043" s="559">
        <v>103.43</v>
      </c>
      <c r="H1043" s="561"/>
      <c r="I1043" s="589" t="str">
        <f>I928</f>
        <v>علی الحساب</v>
      </c>
    </row>
    <row r="1044" spans="1:9" ht="9" customHeight="1">
      <c r="A1044" s="591"/>
      <c r="B1044" s="585"/>
      <c r="C1044" s="54"/>
      <c r="D1044" s="54"/>
      <c r="E1044" s="54"/>
      <c r="F1044" s="54"/>
      <c r="G1044" s="560"/>
      <c r="H1044" s="562"/>
      <c r="I1044" s="590"/>
    </row>
    <row r="1045" spans="1:9" ht="9" customHeight="1">
      <c r="A1045" s="591"/>
      <c r="B1045" s="584" t="str">
        <f>B930</f>
        <v>عملیات انجام گرفته در زیرزمین ZONE Y1</v>
      </c>
      <c r="C1045" s="53"/>
      <c r="D1045" s="53"/>
      <c r="E1045" s="54"/>
      <c r="F1045" s="53"/>
      <c r="G1045" s="559">
        <v>131.38999999999999</v>
      </c>
      <c r="H1045" s="561"/>
      <c r="I1045" s="589" t="str">
        <f>I930</f>
        <v>علی الحساب</v>
      </c>
    </row>
    <row r="1046" spans="1:9" ht="9" customHeight="1">
      <c r="A1046" s="591"/>
      <c r="B1046" s="585"/>
      <c r="C1046" s="54"/>
      <c r="D1046" s="54"/>
      <c r="E1046" s="54"/>
      <c r="F1046" s="54"/>
      <c r="G1046" s="560"/>
      <c r="H1046" s="562"/>
      <c r="I1046" s="590"/>
    </row>
    <row r="1047" spans="1:9" ht="9" customHeight="1">
      <c r="A1047" s="591"/>
      <c r="B1047" s="584" t="str">
        <f>B932</f>
        <v>عملیات انجام گرفته در زیرزمین ZONE Y2</v>
      </c>
      <c r="C1047" s="53"/>
      <c r="D1047" s="53"/>
      <c r="E1047" s="54"/>
      <c r="F1047" s="53"/>
      <c r="G1047" s="559">
        <v>215.06</v>
      </c>
      <c r="H1047" s="561"/>
      <c r="I1047" s="589" t="str">
        <f>I932</f>
        <v>علی الحساب</v>
      </c>
    </row>
    <row r="1048" spans="1:9" ht="9" customHeight="1">
      <c r="A1048" s="591"/>
      <c r="B1048" s="585"/>
      <c r="C1048" s="54"/>
      <c r="D1048" s="54"/>
      <c r="E1048" s="54"/>
      <c r="F1048" s="54"/>
      <c r="G1048" s="560"/>
      <c r="H1048" s="562"/>
      <c r="I1048" s="590"/>
    </row>
    <row r="1049" spans="1:9" ht="9" customHeight="1">
      <c r="A1049" s="591"/>
      <c r="B1049" s="584" t="str">
        <f>B934</f>
        <v>عملیات انجام گرفته در زیرزمین ZONE Y3</v>
      </c>
      <c r="C1049" s="53"/>
      <c r="D1049" s="53"/>
      <c r="E1049" s="54"/>
      <c r="F1049" s="53"/>
      <c r="G1049" s="559">
        <v>314.75</v>
      </c>
      <c r="H1049" s="561"/>
      <c r="I1049" s="589" t="str">
        <f>I934</f>
        <v>علی الحساب</v>
      </c>
    </row>
    <row r="1050" spans="1:9" ht="9" customHeight="1">
      <c r="A1050" s="591"/>
      <c r="B1050" s="585"/>
      <c r="C1050" s="54"/>
      <c r="D1050" s="54"/>
      <c r="E1050" s="54"/>
      <c r="F1050" s="54"/>
      <c r="G1050" s="560"/>
      <c r="H1050" s="562"/>
      <c r="I1050" s="590"/>
    </row>
    <row r="1051" spans="1:9" ht="12" customHeight="1">
      <c r="A1051" s="592"/>
      <c r="B1051" s="565" t="s">
        <v>33</v>
      </c>
      <c r="C1051" s="566"/>
      <c r="D1051" s="566"/>
      <c r="E1051" s="567"/>
      <c r="F1051" s="299" t="str">
        <f>A1020</f>
        <v>090701</v>
      </c>
      <c r="G1051" s="300">
        <f>SUM(G1021:G1050)</f>
        <v>2200.33</v>
      </c>
      <c r="H1051" s="301">
        <f>SUM(H1021:H1032)</f>
        <v>0</v>
      </c>
      <c r="I1051" s="302" t="str">
        <f>IF(F1051="","",VLOOKUP(F1051,'ابنیه 95'!$A:$E,3,FALSE))</f>
        <v>کيلوگرم</v>
      </c>
    </row>
    <row r="1052" spans="1:9" ht="12" customHeight="1">
      <c r="A1052" s="551" t="s">
        <v>141</v>
      </c>
      <c r="B1052" s="571" t="str">
        <f>IF(A1052="","",VLOOKUP(A1052,'ابنیه 95'!$A:$E,2,FALSE))</f>
        <v>جوشكاري براي بعد موثر بيش از 5 ميلي‌متر تا 7 ميلي‌متر با ساييدن. با توجه به بند 7 مقدمه فصل.</v>
      </c>
      <c r="C1052" s="572"/>
      <c r="D1052" s="572"/>
      <c r="E1052" s="572"/>
      <c r="F1052" s="572"/>
      <c r="G1052" s="572"/>
      <c r="H1052" s="572"/>
      <c r="I1052" s="573"/>
    </row>
    <row r="1053" spans="1:9" ht="7.5" customHeight="1">
      <c r="A1053" s="612"/>
      <c r="B1053" s="584" t="str">
        <f>B1021</f>
        <v xml:space="preserve">فونداسیون  ZONE Z1 </v>
      </c>
      <c r="C1053" s="53"/>
      <c r="D1053" s="53"/>
      <c r="E1053" s="54"/>
      <c r="F1053" s="53"/>
      <c r="G1053" s="559">
        <v>3.6</v>
      </c>
      <c r="H1053" s="561"/>
      <c r="I1053" s="563" t="str">
        <f>I960</f>
        <v>صورتجلسه شماره: 3</v>
      </c>
    </row>
    <row r="1054" spans="1:9" ht="7.5" customHeight="1">
      <c r="A1054" s="612"/>
      <c r="B1054" s="585"/>
      <c r="C1054" s="54"/>
      <c r="D1054" s="54"/>
      <c r="E1054" s="54"/>
      <c r="F1054" s="54"/>
      <c r="G1054" s="560"/>
      <c r="H1054" s="562"/>
      <c r="I1054" s="564"/>
    </row>
    <row r="1055" spans="1:9" ht="7.5" customHeight="1">
      <c r="A1055" s="612"/>
      <c r="B1055" s="584" t="str">
        <f>B1023</f>
        <v>فونداسیون  ZONE Z2</v>
      </c>
      <c r="C1055" s="53"/>
      <c r="D1055" s="53"/>
      <c r="E1055" s="54"/>
      <c r="F1055" s="53"/>
      <c r="G1055" s="559">
        <v>19.13</v>
      </c>
      <c r="H1055" s="561"/>
      <c r="I1055" s="563" t="str">
        <f>I962</f>
        <v>صورتجلسه شماره: 4</v>
      </c>
    </row>
    <row r="1056" spans="1:9" ht="7.5" customHeight="1">
      <c r="A1056" s="612"/>
      <c r="B1056" s="585"/>
      <c r="C1056" s="54"/>
      <c r="D1056" s="54"/>
      <c r="E1056" s="54"/>
      <c r="F1056" s="54"/>
      <c r="G1056" s="560"/>
      <c r="H1056" s="562"/>
      <c r="I1056" s="564"/>
    </row>
    <row r="1057" spans="1:9" ht="7.5" customHeight="1">
      <c r="A1057" s="612"/>
      <c r="B1057" s="584" t="str">
        <f>B1025</f>
        <v>فونداسیون  ZONE Z3</v>
      </c>
      <c r="C1057" s="53"/>
      <c r="D1057" s="53"/>
      <c r="E1057" s="54"/>
      <c r="F1057" s="53"/>
      <c r="G1057" s="559">
        <v>14.84</v>
      </c>
      <c r="H1057" s="561"/>
      <c r="I1057" s="563" t="str">
        <f>I964</f>
        <v>صورتجلسه شماره: 5</v>
      </c>
    </row>
    <row r="1058" spans="1:9" ht="7.5" customHeight="1">
      <c r="A1058" s="612"/>
      <c r="B1058" s="585"/>
      <c r="C1058" s="54"/>
      <c r="D1058" s="54"/>
      <c r="E1058" s="54"/>
      <c r="F1058" s="54"/>
      <c r="G1058" s="560"/>
      <c r="H1058" s="562"/>
      <c r="I1058" s="564"/>
    </row>
    <row r="1059" spans="1:9" ht="7.5" customHeight="1">
      <c r="A1059" s="612"/>
      <c r="B1059" s="584" t="str">
        <f>B1027</f>
        <v>فونداسیون  ZONE Z4</v>
      </c>
      <c r="C1059" s="53"/>
      <c r="D1059" s="53"/>
      <c r="E1059" s="54"/>
      <c r="F1059" s="53"/>
      <c r="G1059" s="559">
        <v>25.69</v>
      </c>
      <c r="H1059" s="561"/>
      <c r="I1059" s="563" t="str">
        <f>I966</f>
        <v>صورتجلسه شماره: 6</v>
      </c>
    </row>
    <row r="1060" spans="1:9" ht="7.5" customHeight="1">
      <c r="A1060" s="612"/>
      <c r="B1060" s="585"/>
      <c r="C1060" s="54"/>
      <c r="D1060" s="54"/>
      <c r="E1060" s="54"/>
      <c r="F1060" s="54"/>
      <c r="G1060" s="560"/>
      <c r="H1060" s="562"/>
      <c r="I1060" s="564"/>
    </row>
    <row r="1061" spans="1:9" ht="7.5" customHeight="1">
      <c r="A1061" s="612"/>
      <c r="B1061" s="584" t="str">
        <f>B1029</f>
        <v>فونداسیون  ZONE Z5</v>
      </c>
      <c r="C1061" s="53"/>
      <c r="D1061" s="53"/>
      <c r="E1061" s="54"/>
      <c r="F1061" s="53"/>
      <c r="G1061" s="559">
        <v>4.71</v>
      </c>
      <c r="H1061" s="561"/>
      <c r="I1061" s="563" t="str">
        <f>I968</f>
        <v>صورتجلسه شماره: 7</v>
      </c>
    </row>
    <row r="1062" spans="1:9" ht="7.5" customHeight="1">
      <c r="A1062" s="612"/>
      <c r="B1062" s="585"/>
      <c r="C1062" s="54"/>
      <c r="D1062" s="54"/>
      <c r="E1062" s="54"/>
      <c r="F1062" s="54"/>
      <c r="G1062" s="560"/>
      <c r="H1062" s="562"/>
      <c r="I1062" s="564"/>
    </row>
    <row r="1063" spans="1:9" ht="7.5" customHeight="1">
      <c r="A1063" s="612"/>
      <c r="B1063" s="584" t="str">
        <f>B970</f>
        <v>فونداسیون  ZONE Y1</v>
      </c>
      <c r="C1063" s="53"/>
      <c r="D1063" s="53"/>
      <c r="E1063" s="54"/>
      <c r="F1063" s="53"/>
      <c r="G1063" s="559">
        <v>1.65</v>
      </c>
      <c r="H1063" s="561"/>
      <c r="I1063" s="563" t="str">
        <f>I970</f>
        <v>صورتجلسه شماره: 8</v>
      </c>
    </row>
    <row r="1064" spans="1:9" ht="7.5" customHeight="1">
      <c r="A1064" s="612"/>
      <c r="B1064" s="585"/>
      <c r="C1064" s="54"/>
      <c r="D1064" s="54"/>
      <c r="E1064" s="54"/>
      <c r="F1064" s="54"/>
      <c r="G1064" s="560"/>
      <c r="H1064" s="562"/>
      <c r="I1064" s="564"/>
    </row>
    <row r="1065" spans="1:9" ht="7.5" customHeight="1">
      <c r="A1065" s="612"/>
      <c r="B1065" s="584" t="str">
        <f>B972</f>
        <v>فونداسیون  ZONE Y2</v>
      </c>
      <c r="C1065" s="53"/>
      <c r="D1065" s="53"/>
      <c r="E1065" s="54"/>
      <c r="F1065" s="53"/>
      <c r="G1065" s="559">
        <v>1.5</v>
      </c>
      <c r="H1065" s="561"/>
      <c r="I1065" s="563" t="str">
        <f>I972</f>
        <v>صورتجلسه شماره: 9</v>
      </c>
    </row>
    <row r="1066" spans="1:9" ht="7.5" customHeight="1">
      <c r="A1066" s="612"/>
      <c r="B1066" s="585"/>
      <c r="C1066" s="54"/>
      <c r="D1066" s="54"/>
      <c r="E1066" s="54"/>
      <c r="F1066" s="54"/>
      <c r="G1066" s="560"/>
      <c r="H1066" s="562"/>
      <c r="I1066" s="564"/>
    </row>
    <row r="1067" spans="1:9" ht="7.5" customHeight="1">
      <c r="A1067" s="591"/>
      <c r="B1067" s="584" t="str">
        <f>B974</f>
        <v>فونداسیون  ZONE Y3</v>
      </c>
      <c r="C1067" s="53"/>
      <c r="D1067" s="53"/>
      <c r="E1067" s="54"/>
      <c r="F1067" s="53"/>
      <c r="G1067" s="559">
        <v>2.5499999999999998</v>
      </c>
      <c r="H1067" s="561"/>
      <c r="I1067" s="563" t="str">
        <f>I974</f>
        <v>صورتجلسه شماره: 10</v>
      </c>
    </row>
    <row r="1068" spans="1:9" ht="7.5" customHeight="1">
      <c r="A1068" s="591"/>
      <c r="B1068" s="585"/>
      <c r="C1068" s="54"/>
      <c r="D1068" s="54"/>
      <c r="E1068" s="54"/>
      <c r="F1068" s="54"/>
      <c r="G1068" s="560"/>
      <c r="H1068" s="562"/>
      <c r="I1068" s="564"/>
    </row>
    <row r="1069" spans="1:9" ht="7.5" customHeight="1">
      <c r="A1069" s="591"/>
      <c r="B1069" s="584" t="str">
        <f>B1033</f>
        <v xml:space="preserve"> ستونهای طبقه زیرزمین   ZONE Z ,Y</v>
      </c>
      <c r="C1069" s="53"/>
      <c r="D1069" s="53"/>
      <c r="E1069" s="53"/>
      <c r="F1069" s="53"/>
      <c r="G1069" s="559">
        <v>13.8</v>
      </c>
      <c r="H1069" s="561"/>
      <c r="I1069" s="563" t="str">
        <f>I1033</f>
        <v>صورتجلسه شماره: 11</v>
      </c>
    </row>
    <row r="1070" spans="1:9" ht="7.5" customHeight="1">
      <c r="A1070" s="591"/>
      <c r="B1070" s="585"/>
      <c r="C1070" s="53"/>
      <c r="D1070" s="53"/>
      <c r="E1070" s="54"/>
      <c r="F1070" s="53"/>
      <c r="G1070" s="560"/>
      <c r="H1070" s="562"/>
      <c r="I1070" s="564"/>
    </row>
    <row r="1071" spans="1:9" ht="7.5" customHeight="1">
      <c r="A1071" s="591"/>
      <c r="B1071" s="584" t="str">
        <f>B828</f>
        <v xml:space="preserve">سقف زیرزمین درZONE Z1 </v>
      </c>
      <c r="C1071" s="53"/>
      <c r="D1071" s="53"/>
      <c r="E1071" s="54"/>
      <c r="F1071" s="53"/>
      <c r="G1071" s="559">
        <v>1.5</v>
      </c>
      <c r="H1071" s="561"/>
      <c r="I1071" s="563" t="str">
        <f>I828</f>
        <v>علی الحساب</v>
      </c>
    </row>
    <row r="1072" spans="1:9" ht="7.5" customHeight="1">
      <c r="A1072" s="591"/>
      <c r="B1072" s="585"/>
      <c r="C1072" s="54"/>
      <c r="D1072" s="54"/>
      <c r="E1072" s="54"/>
      <c r="F1072" s="54"/>
      <c r="G1072" s="560"/>
      <c r="H1072" s="562"/>
      <c r="I1072" s="564"/>
    </row>
    <row r="1073" spans="1:9" ht="7.5" customHeight="1">
      <c r="A1073" s="591"/>
      <c r="B1073" s="584" t="str">
        <f>B830</f>
        <v>سقف زیرزمین درZONE Z2</v>
      </c>
      <c r="C1073" s="53"/>
      <c r="D1073" s="53"/>
      <c r="E1073" s="54"/>
      <c r="F1073" s="53"/>
      <c r="G1073" s="559">
        <v>7.97</v>
      </c>
      <c r="H1073" s="561"/>
      <c r="I1073" s="563" t="str">
        <f>I830</f>
        <v>علی الحساب</v>
      </c>
    </row>
    <row r="1074" spans="1:9" ht="7.5" customHeight="1">
      <c r="A1074" s="591"/>
      <c r="B1074" s="585"/>
      <c r="C1074" s="54"/>
      <c r="D1074" s="54"/>
      <c r="E1074" s="54"/>
      <c r="F1074" s="54"/>
      <c r="G1074" s="560"/>
      <c r="H1074" s="562"/>
      <c r="I1074" s="564"/>
    </row>
    <row r="1075" spans="1:9" ht="7.5" customHeight="1">
      <c r="A1075" s="591"/>
      <c r="B1075" s="584" t="str">
        <f>B832</f>
        <v>سقف زیرزمین درZONE Z3</v>
      </c>
      <c r="C1075" s="53"/>
      <c r="D1075" s="53"/>
      <c r="E1075" s="54"/>
      <c r="F1075" s="53"/>
      <c r="G1075" s="559">
        <v>6.18</v>
      </c>
      <c r="H1075" s="561"/>
      <c r="I1075" s="563" t="str">
        <f>I832</f>
        <v>علی الحساب</v>
      </c>
    </row>
    <row r="1076" spans="1:9" ht="7.5" customHeight="1">
      <c r="A1076" s="591"/>
      <c r="B1076" s="585"/>
      <c r="C1076" s="54"/>
      <c r="D1076" s="54"/>
      <c r="E1076" s="54"/>
      <c r="F1076" s="54"/>
      <c r="G1076" s="560"/>
      <c r="H1076" s="562"/>
      <c r="I1076" s="564"/>
    </row>
    <row r="1077" spans="1:9" ht="7.5" customHeight="1">
      <c r="A1077" s="591"/>
      <c r="B1077" s="584" t="str">
        <f>B834</f>
        <v>سقف زیرزمین درZONE Z4</v>
      </c>
      <c r="C1077" s="53"/>
      <c r="D1077" s="53"/>
      <c r="E1077" s="54"/>
      <c r="F1077" s="53"/>
      <c r="G1077" s="559">
        <v>10.71</v>
      </c>
      <c r="H1077" s="561"/>
      <c r="I1077" s="563" t="str">
        <f>I834</f>
        <v>علی الحساب</v>
      </c>
    </row>
    <row r="1078" spans="1:9" ht="7.5" customHeight="1">
      <c r="A1078" s="591"/>
      <c r="B1078" s="585"/>
      <c r="C1078" s="54"/>
      <c r="D1078" s="54"/>
      <c r="E1078" s="54"/>
      <c r="F1078" s="54"/>
      <c r="G1078" s="560"/>
      <c r="H1078" s="562"/>
      <c r="I1078" s="564"/>
    </row>
    <row r="1079" spans="1:9" ht="7.5" customHeight="1">
      <c r="A1079" s="591"/>
      <c r="B1079" s="584" t="str">
        <f>B836</f>
        <v>سقف زیرزمین درZONE Z5</v>
      </c>
      <c r="C1079" s="53"/>
      <c r="D1079" s="53"/>
      <c r="E1079" s="53"/>
      <c r="F1079" s="53"/>
      <c r="G1079" s="559">
        <v>1.96</v>
      </c>
      <c r="H1079" s="561"/>
      <c r="I1079" s="563" t="str">
        <f>I836</f>
        <v>علی الحساب</v>
      </c>
    </row>
    <row r="1080" spans="1:9" ht="7.5" customHeight="1">
      <c r="A1080" s="591"/>
      <c r="B1080" s="585"/>
      <c r="C1080" s="53"/>
      <c r="D1080" s="53"/>
      <c r="E1080" s="54"/>
      <c r="F1080" s="53"/>
      <c r="G1080" s="560"/>
      <c r="H1080" s="562"/>
      <c r="I1080" s="564"/>
    </row>
    <row r="1081" spans="1:9" ht="7.5" customHeight="1">
      <c r="A1081" s="591"/>
      <c r="B1081" s="584" t="str">
        <f>B838</f>
        <v>سقف زیرزمین درZONE Y1</v>
      </c>
      <c r="C1081" s="53"/>
      <c r="D1081" s="53"/>
      <c r="E1081" s="53"/>
      <c r="F1081" s="53"/>
      <c r="G1081" s="559">
        <v>0.6</v>
      </c>
      <c r="H1081" s="561"/>
      <c r="I1081" s="563" t="str">
        <f>I838</f>
        <v>صورتجلسه شماره:12</v>
      </c>
    </row>
    <row r="1082" spans="1:9" ht="7.5" customHeight="1">
      <c r="A1082" s="591"/>
      <c r="B1082" s="585"/>
      <c r="C1082" s="53"/>
      <c r="D1082" s="53"/>
      <c r="E1082" s="54"/>
      <c r="F1082" s="53"/>
      <c r="G1082" s="560"/>
      <c r="H1082" s="562"/>
      <c r="I1082" s="564"/>
    </row>
    <row r="1083" spans="1:9" ht="7.5" customHeight="1">
      <c r="A1083" s="591"/>
      <c r="B1083" s="584" t="str">
        <f>B840</f>
        <v>سقف زیرزمین درZONE Y2</v>
      </c>
      <c r="C1083" s="53"/>
      <c r="D1083" s="53"/>
      <c r="E1083" s="53"/>
      <c r="F1083" s="53"/>
      <c r="G1083" s="559">
        <v>1.35</v>
      </c>
      <c r="H1083" s="561"/>
      <c r="I1083" s="563" t="str">
        <f>I840</f>
        <v>صورتجلسه شماره:13</v>
      </c>
    </row>
    <row r="1084" spans="1:9" ht="7.5" customHeight="1">
      <c r="A1084" s="591"/>
      <c r="B1084" s="585"/>
      <c r="C1084" s="53"/>
      <c r="D1084" s="53"/>
      <c r="E1084" s="54"/>
      <c r="F1084" s="53"/>
      <c r="G1084" s="560"/>
      <c r="H1084" s="562"/>
      <c r="I1084" s="564"/>
    </row>
    <row r="1085" spans="1:9" ht="7.5" customHeight="1">
      <c r="A1085" s="591"/>
      <c r="B1085" s="584" t="str">
        <f>B842</f>
        <v>سقف زیرزمین درZONE Y3</v>
      </c>
      <c r="C1085" s="53"/>
      <c r="D1085" s="53"/>
      <c r="E1085" s="53"/>
      <c r="F1085" s="53"/>
      <c r="G1085" s="559">
        <v>5.98</v>
      </c>
      <c r="H1085" s="561"/>
      <c r="I1085" s="563" t="str">
        <f>I842</f>
        <v>علی الحساب</v>
      </c>
    </row>
    <row r="1086" spans="1:9" ht="7.5" customHeight="1">
      <c r="A1086" s="591"/>
      <c r="B1086" s="585"/>
      <c r="C1086" s="53"/>
      <c r="D1086" s="53"/>
      <c r="E1086" s="54"/>
      <c r="F1086" s="53"/>
      <c r="G1086" s="560"/>
      <c r="H1086" s="562"/>
      <c r="I1086" s="564"/>
    </row>
    <row r="1087" spans="1:9" ht="7.5" customHeight="1">
      <c r="A1087" s="591"/>
      <c r="B1087" s="584" t="str">
        <f>B844</f>
        <v xml:space="preserve"> ستونهای طبقه اول  مرحله اول ZONE Z1</v>
      </c>
      <c r="C1087" s="53"/>
      <c r="D1087" s="53"/>
      <c r="E1087" s="54"/>
      <c r="F1087" s="53"/>
      <c r="G1087" s="559">
        <v>1.2</v>
      </c>
      <c r="H1087" s="561"/>
      <c r="I1087" s="563" t="str">
        <f>I844</f>
        <v>علی الحساب</v>
      </c>
    </row>
    <row r="1088" spans="1:9" ht="7.5" customHeight="1">
      <c r="A1088" s="591"/>
      <c r="B1088" s="585"/>
      <c r="C1088" s="54"/>
      <c r="D1088" s="54"/>
      <c r="E1088" s="54"/>
      <c r="F1088" s="54"/>
      <c r="G1088" s="560"/>
      <c r="H1088" s="562"/>
      <c r="I1088" s="564"/>
    </row>
    <row r="1089" spans="1:9" ht="7.5" customHeight="1">
      <c r="A1089" s="591"/>
      <c r="B1089" s="584" t="str">
        <f>B846</f>
        <v xml:space="preserve"> ستونهای طبقه اول  مرحله اول ZONE Z2</v>
      </c>
      <c r="C1089" s="53"/>
      <c r="D1089" s="53"/>
      <c r="E1089" s="54"/>
      <c r="F1089" s="53"/>
      <c r="G1089" s="559">
        <v>6.38</v>
      </c>
      <c r="H1089" s="561"/>
      <c r="I1089" s="563" t="str">
        <f>I846</f>
        <v>علی الحساب</v>
      </c>
    </row>
    <row r="1090" spans="1:9" ht="7.5" customHeight="1">
      <c r="A1090" s="591"/>
      <c r="B1090" s="585"/>
      <c r="C1090" s="54"/>
      <c r="D1090" s="54"/>
      <c r="E1090" s="54"/>
      <c r="F1090" s="54"/>
      <c r="G1090" s="560"/>
      <c r="H1090" s="562"/>
      <c r="I1090" s="564"/>
    </row>
    <row r="1091" spans="1:9" ht="7.5" customHeight="1">
      <c r="A1091" s="591"/>
      <c r="B1091" s="584" t="str">
        <f>B848</f>
        <v xml:space="preserve"> ستونهای طبقه اول  مرحله اول ZONE Z3</v>
      </c>
      <c r="C1091" s="53"/>
      <c r="D1091" s="53"/>
      <c r="E1091" s="54"/>
      <c r="F1091" s="53"/>
      <c r="G1091" s="559">
        <v>4.95</v>
      </c>
      <c r="H1091" s="561"/>
      <c r="I1091" s="563" t="str">
        <f>I848</f>
        <v>علی الحساب</v>
      </c>
    </row>
    <row r="1092" spans="1:9" ht="7.5" customHeight="1">
      <c r="A1092" s="591"/>
      <c r="B1092" s="585"/>
      <c r="C1092" s="54"/>
      <c r="D1092" s="54"/>
      <c r="E1092" s="54"/>
      <c r="F1092" s="54"/>
      <c r="G1092" s="560"/>
      <c r="H1092" s="562"/>
      <c r="I1092" s="564"/>
    </row>
    <row r="1093" spans="1:9" ht="7.5" customHeight="1">
      <c r="A1093" s="591"/>
      <c r="B1093" s="584" t="str">
        <f>B850</f>
        <v xml:space="preserve"> ستونهای طبقه اول  مرحله اول ZONE Z4</v>
      </c>
      <c r="C1093" s="53"/>
      <c r="D1093" s="53"/>
      <c r="E1093" s="54"/>
      <c r="F1093" s="53"/>
      <c r="G1093" s="559">
        <v>8.56</v>
      </c>
      <c r="H1093" s="561"/>
      <c r="I1093" s="563" t="str">
        <f>I850</f>
        <v>علی الحساب</v>
      </c>
    </row>
    <row r="1094" spans="1:9" ht="7.5" customHeight="1">
      <c r="A1094" s="591"/>
      <c r="B1094" s="585"/>
      <c r="C1094" s="54"/>
      <c r="D1094" s="54"/>
      <c r="E1094" s="54"/>
      <c r="F1094" s="54"/>
      <c r="G1094" s="560"/>
      <c r="H1094" s="562"/>
      <c r="I1094" s="564"/>
    </row>
    <row r="1095" spans="1:9" ht="7.5" customHeight="1">
      <c r="A1095" s="591"/>
      <c r="B1095" s="584" t="str">
        <f>B852</f>
        <v xml:space="preserve"> ستونهای طبقه اول  مرحله اول ZONE Z5</v>
      </c>
      <c r="C1095" s="53"/>
      <c r="D1095" s="53"/>
      <c r="E1095" s="53"/>
      <c r="F1095" s="53"/>
      <c r="G1095" s="559">
        <v>1.57</v>
      </c>
      <c r="H1095" s="561"/>
      <c r="I1095" s="563" t="str">
        <f>I852</f>
        <v>علی الحساب</v>
      </c>
    </row>
    <row r="1096" spans="1:9" ht="7.5" customHeight="1">
      <c r="A1096" s="591"/>
      <c r="B1096" s="585"/>
      <c r="C1096" s="53"/>
      <c r="D1096" s="53"/>
      <c r="E1096" s="54"/>
      <c r="F1096" s="53"/>
      <c r="G1096" s="560"/>
      <c r="H1096" s="562"/>
      <c r="I1096" s="564"/>
    </row>
    <row r="1097" spans="1:9" ht="7.5" customHeight="1">
      <c r="A1097" s="591"/>
      <c r="B1097" s="584" t="str">
        <f>B854</f>
        <v xml:space="preserve"> ستونهای طبقه اول  مرحله اول ZONE Y1</v>
      </c>
      <c r="C1097" s="53"/>
      <c r="D1097" s="53"/>
      <c r="E1097" s="53"/>
      <c r="F1097" s="53"/>
      <c r="G1097" s="559">
        <v>2</v>
      </c>
      <c r="H1097" s="561"/>
      <c r="I1097" s="563" t="str">
        <f>I854</f>
        <v>علی الحساب</v>
      </c>
    </row>
    <row r="1098" spans="1:9" ht="7.5" customHeight="1">
      <c r="A1098" s="591"/>
      <c r="B1098" s="585"/>
      <c r="C1098" s="53"/>
      <c r="D1098" s="53"/>
      <c r="E1098" s="54"/>
      <c r="F1098" s="53"/>
      <c r="G1098" s="560"/>
      <c r="H1098" s="562"/>
      <c r="I1098" s="564"/>
    </row>
    <row r="1099" spans="1:9" ht="7.5" customHeight="1">
      <c r="A1099" s="591"/>
      <c r="B1099" s="584" t="str">
        <f>B856</f>
        <v xml:space="preserve"> ستونهای طبقه اول  مرحله اول ZONE Y2</v>
      </c>
      <c r="C1099" s="53"/>
      <c r="D1099" s="53"/>
      <c r="E1099" s="53"/>
      <c r="F1099" s="53"/>
      <c r="G1099" s="559">
        <v>3.27</v>
      </c>
      <c r="H1099" s="561"/>
      <c r="I1099" s="563" t="str">
        <f>I856</f>
        <v>علی الحساب</v>
      </c>
    </row>
    <row r="1100" spans="1:9" ht="7.5" customHeight="1">
      <c r="A1100" s="591"/>
      <c r="B1100" s="585"/>
      <c r="C1100" s="53"/>
      <c r="D1100" s="53"/>
      <c r="E1100" s="54"/>
      <c r="F1100" s="53"/>
      <c r="G1100" s="560"/>
      <c r="H1100" s="562"/>
      <c r="I1100" s="564"/>
    </row>
    <row r="1101" spans="1:9" ht="7.5" customHeight="1">
      <c r="A1101" s="591"/>
      <c r="B1101" s="584" t="str">
        <f>B858</f>
        <v xml:space="preserve"> ستونهای طبقه اول  مرحله اول ZONE Y3</v>
      </c>
      <c r="C1101" s="53"/>
      <c r="D1101" s="53"/>
      <c r="E1101" s="53"/>
      <c r="F1101" s="53"/>
      <c r="G1101" s="559">
        <v>4.78</v>
      </c>
      <c r="H1101" s="561"/>
      <c r="I1101" s="563" t="str">
        <f>I858</f>
        <v>علی الحساب</v>
      </c>
    </row>
    <row r="1102" spans="1:9" ht="7.5" customHeight="1">
      <c r="A1102" s="591"/>
      <c r="B1102" s="585"/>
      <c r="C1102" s="53"/>
      <c r="D1102" s="53"/>
      <c r="E1102" s="54"/>
      <c r="F1102" s="53"/>
      <c r="G1102" s="560"/>
      <c r="H1102" s="562"/>
      <c r="I1102" s="564"/>
    </row>
    <row r="1103" spans="1:9" ht="7.5" customHeight="1">
      <c r="A1103" s="591"/>
      <c r="B1103" s="584" t="str">
        <f>B860</f>
        <v xml:space="preserve"> ستونهای طبقه اول  مرحله دوم ZONE Z1</v>
      </c>
      <c r="C1103" s="53"/>
      <c r="D1103" s="53"/>
      <c r="E1103" s="54"/>
      <c r="F1103" s="53"/>
      <c r="G1103" s="559">
        <v>1.2</v>
      </c>
      <c r="H1103" s="561"/>
      <c r="I1103" s="563" t="str">
        <f>I860</f>
        <v>علی الحساب</v>
      </c>
    </row>
    <row r="1104" spans="1:9" ht="7.5" customHeight="1">
      <c r="A1104" s="591"/>
      <c r="B1104" s="585"/>
      <c r="C1104" s="54"/>
      <c r="D1104" s="54"/>
      <c r="E1104" s="54"/>
      <c r="F1104" s="54"/>
      <c r="G1104" s="560"/>
      <c r="H1104" s="562"/>
      <c r="I1104" s="564"/>
    </row>
    <row r="1105" spans="1:9" ht="7.5" customHeight="1">
      <c r="A1105" s="591"/>
      <c r="B1105" s="584" t="str">
        <f>B862</f>
        <v xml:space="preserve"> ستونهای طبقه اول  مرحله دوم ZONE Z2</v>
      </c>
      <c r="C1105" s="53"/>
      <c r="D1105" s="53"/>
      <c r="E1105" s="54"/>
      <c r="F1105" s="53"/>
      <c r="G1105" s="559">
        <v>6.38</v>
      </c>
      <c r="H1105" s="561"/>
      <c r="I1105" s="563" t="str">
        <f>I862</f>
        <v>علی الحساب</v>
      </c>
    </row>
    <row r="1106" spans="1:9" ht="7.5" customHeight="1">
      <c r="A1106" s="591"/>
      <c r="B1106" s="585"/>
      <c r="C1106" s="54"/>
      <c r="D1106" s="54"/>
      <c r="E1106" s="54"/>
      <c r="F1106" s="54"/>
      <c r="G1106" s="560"/>
      <c r="H1106" s="562"/>
      <c r="I1106" s="564"/>
    </row>
    <row r="1107" spans="1:9" ht="7.5" customHeight="1">
      <c r="A1107" s="591"/>
      <c r="B1107" s="584" t="str">
        <f>B864</f>
        <v xml:space="preserve"> ستونهای طبقه اول  مرحله دوم ZONE Z3</v>
      </c>
      <c r="C1107" s="53"/>
      <c r="D1107" s="53"/>
      <c r="E1107" s="54"/>
      <c r="F1107" s="53"/>
      <c r="G1107" s="559">
        <v>4.95</v>
      </c>
      <c r="H1107" s="561"/>
      <c r="I1107" s="563" t="str">
        <f>I864</f>
        <v>علی الحساب</v>
      </c>
    </row>
    <row r="1108" spans="1:9" ht="7.5" customHeight="1">
      <c r="A1108" s="591"/>
      <c r="B1108" s="585"/>
      <c r="C1108" s="54"/>
      <c r="D1108" s="54"/>
      <c r="E1108" s="54"/>
      <c r="F1108" s="54"/>
      <c r="G1108" s="560"/>
      <c r="H1108" s="562"/>
      <c r="I1108" s="564"/>
    </row>
    <row r="1109" spans="1:9" ht="7.5" customHeight="1">
      <c r="A1109" s="591"/>
      <c r="B1109" s="584" t="str">
        <f>B866</f>
        <v xml:space="preserve"> ستونهای طبقه اول  مرحله دوم ZONE Z4</v>
      </c>
      <c r="C1109" s="53"/>
      <c r="D1109" s="53"/>
      <c r="E1109" s="54"/>
      <c r="F1109" s="53"/>
      <c r="G1109" s="559">
        <v>8.56</v>
      </c>
      <c r="H1109" s="561"/>
      <c r="I1109" s="563" t="str">
        <f>I866</f>
        <v>علی الحساب</v>
      </c>
    </row>
    <row r="1110" spans="1:9" ht="7.5" customHeight="1">
      <c r="A1110" s="591"/>
      <c r="B1110" s="585"/>
      <c r="C1110" s="54"/>
      <c r="D1110" s="54"/>
      <c r="E1110" s="54"/>
      <c r="F1110" s="54"/>
      <c r="G1110" s="560"/>
      <c r="H1110" s="562"/>
      <c r="I1110" s="564"/>
    </row>
    <row r="1111" spans="1:9" ht="7.5" customHeight="1">
      <c r="A1111" s="591"/>
      <c r="B1111" s="584" t="str">
        <f>B868</f>
        <v xml:space="preserve"> ستونهای طبقه اول  مرحله دوم ZONE Z5</v>
      </c>
      <c r="C1111" s="53"/>
      <c r="D1111" s="53"/>
      <c r="E1111" s="53"/>
      <c r="F1111" s="53"/>
      <c r="G1111" s="559">
        <v>1.57</v>
      </c>
      <c r="H1111" s="561"/>
      <c r="I1111" s="563" t="str">
        <f>I868</f>
        <v>علی الحساب</v>
      </c>
    </row>
    <row r="1112" spans="1:9" ht="7.5" customHeight="1">
      <c r="A1112" s="591"/>
      <c r="B1112" s="585"/>
      <c r="C1112" s="53"/>
      <c r="D1112" s="53"/>
      <c r="E1112" s="54"/>
      <c r="F1112" s="53"/>
      <c r="G1112" s="560"/>
      <c r="H1112" s="562"/>
      <c r="I1112" s="564"/>
    </row>
    <row r="1113" spans="1:9" ht="7.5" customHeight="1">
      <c r="A1113" s="591"/>
      <c r="B1113" s="584" t="str">
        <f>B870</f>
        <v xml:space="preserve"> ستونهای طبقه اول  مرحله دوم ZONE Y1</v>
      </c>
      <c r="C1113" s="53"/>
      <c r="D1113" s="53"/>
      <c r="E1113" s="53"/>
      <c r="F1113" s="53"/>
      <c r="G1113" s="559">
        <v>2</v>
      </c>
      <c r="H1113" s="561"/>
      <c r="I1113" s="563" t="str">
        <f>I870</f>
        <v>علی الحساب</v>
      </c>
    </row>
    <row r="1114" spans="1:9" ht="7.5" customHeight="1">
      <c r="A1114" s="591"/>
      <c r="B1114" s="585"/>
      <c r="C1114" s="53"/>
      <c r="D1114" s="53"/>
      <c r="E1114" s="54"/>
      <c r="F1114" s="53"/>
      <c r="G1114" s="560"/>
      <c r="H1114" s="562"/>
      <c r="I1114" s="564"/>
    </row>
    <row r="1115" spans="1:9" ht="7.5" customHeight="1">
      <c r="A1115" s="591"/>
      <c r="B1115" s="584" t="str">
        <f>B872</f>
        <v xml:space="preserve"> ستونهای طبقه اول  مرحله دوم ZONE Y2</v>
      </c>
      <c r="C1115" s="53"/>
      <c r="D1115" s="53"/>
      <c r="E1115" s="53"/>
      <c r="F1115" s="53"/>
      <c r="G1115" s="559">
        <v>3.27</v>
      </c>
      <c r="H1115" s="561"/>
      <c r="I1115" s="563" t="str">
        <f>I872</f>
        <v>علی الحساب</v>
      </c>
    </row>
    <row r="1116" spans="1:9" ht="7.5" customHeight="1">
      <c r="A1116" s="591"/>
      <c r="B1116" s="585"/>
      <c r="C1116" s="53"/>
      <c r="D1116" s="53"/>
      <c r="E1116" s="54"/>
      <c r="F1116" s="53"/>
      <c r="G1116" s="560"/>
      <c r="H1116" s="562"/>
      <c r="I1116" s="564"/>
    </row>
    <row r="1117" spans="1:9" ht="7.5" customHeight="1">
      <c r="A1117" s="591"/>
      <c r="B1117" s="584" t="str">
        <f>B874</f>
        <v xml:space="preserve"> ستونهای طبقه اول  مرحله دوم ZONE Y3</v>
      </c>
      <c r="C1117" s="53"/>
      <c r="D1117" s="53"/>
      <c r="E1117" s="53"/>
      <c r="F1117" s="53"/>
      <c r="G1117" s="559">
        <v>4.78</v>
      </c>
      <c r="H1117" s="561"/>
      <c r="I1117" s="563" t="str">
        <f>I874</f>
        <v>علی الحساب</v>
      </c>
    </row>
    <row r="1118" spans="1:9" ht="7.5" customHeight="1">
      <c r="A1118" s="591"/>
      <c r="B1118" s="585"/>
      <c r="C1118" s="53"/>
      <c r="D1118" s="53"/>
      <c r="E1118" s="54"/>
      <c r="F1118" s="53"/>
      <c r="G1118" s="560"/>
      <c r="H1118" s="562"/>
      <c r="I1118" s="564"/>
    </row>
    <row r="1119" spans="1:9" ht="7.5" customHeight="1">
      <c r="A1119" s="591"/>
      <c r="B1119" s="584" t="str">
        <f>B890</f>
        <v>عملیات انجام گرفته در سقف دوم ZONE Z1</v>
      </c>
      <c r="C1119" s="53"/>
      <c r="D1119" s="53"/>
      <c r="E1119" s="54"/>
      <c r="F1119" s="53"/>
      <c r="G1119" s="559">
        <v>0.56000000000000005</v>
      </c>
      <c r="H1119" s="561"/>
      <c r="I1119" s="589" t="str">
        <f>I890</f>
        <v>علی الحساب</v>
      </c>
    </row>
    <row r="1120" spans="1:9" ht="7.5" customHeight="1">
      <c r="A1120" s="591"/>
      <c r="B1120" s="585"/>
      <c r="C1120" s="54"/>
      <c r="D1120" s="54"/>
      <c r="E1120" s="54"/>
      <c r="F1120" s="54"/>
      <c r="G1120" s="560"/>
      <c r="H1120" s="562"/>
      <c r="I1120" s="590"/>
    </row>
    <row r="1121" spans="1:9" ht="7.5" customHeight="1">
      <c r="A1121" s="591"/>
      <c r="B1121" s="584" t="str">
        <f>B892</f>
        <v>عملیات انجام گرفته در سقف دوم ZONE Z2</v>
      </c>
      <c r="C1121" s="53"/>
      <c r="D1121" s="53"/>
      <c r="E1121" s="54"/>
      <c r="F1121" s="53"/>
      <c r="G1121" s="559">
        <v>2.97</v>
      </c>
      <c r="H1121" s="561"/>
      <c r="I1121" s="589" t="str">
        <f>I892</f>
        <v>علی الحساب</v>
      </c>
    </row>
    <row r="1122" spans="1:9" ht="7.5" customHeight="1">
      <c r="A1122" s="591"/>
      <c r="B1122" s="585"/>
      <c r="C1122" s="54"/>
      <c r="D1122" s="54"/>
      <c r="E1122" s="54"/>
      <c r="F1122" s="54"/>
      <c r="G1122" s="560"/>
      <c r="H1122" s="562"/>
      <c r="I1122" s="590"/>
    </row>
    <row r="1123" spans="1:9" ht="7.5" customHeight="1">
      <c r="A1123" s="591"/>
      <c r="B1123" s="584" t="str">
        <f>B894</f>
        <v>عملیات انجام گرفته در سقف دوم ZONE Z3</v>
      </c>
      <c r="C1123" s="53"/>
      <c r="D1123" s="53"/>
      <c r="E1123" s="54"/>
      <c r="F1123" s="53"/>
      <c r="G1123" s="559">
        <v>2.2999999999999998</v>
      </c>
      <c r="H1123" s="561"/>
      <c r="I1123" s="589" t="str">
        <f>I894</f>
        <v>علی الحساب</v>
      </c>
    </row>
    <row r="1124" spans="1:9" ht="7.5" customHeight="1">
      <c r="A1124" s="591"/>
      <c r="B1124" s="585"/>
      <c r="C1124" s="54"/>
      <c r="D1124" s="54"/>
      <c r="E1124" s="54"/>
      <c r="F1124" s="54"/>
      <c r="G1124" s="560"/>
      <c r="H1124" s="562"/>
      <c r="I1124" s="590"/>
    </row>
    <row r="1125" spans="1:9" ht="7.5" customHeight="1">
      <c r="A1125" s="591"/>
      <c r="B1125" s="584" t="str">
        <f>B896</f>
        <v>عملیات انجام گرفته در سقف دوم ZONE Z4</v>
      </c>
      <c r="C1125" s="53"/>
      <c r="D1125" s="53"/>
      <c r="E1125" s="54"/>
      <c r="F1125" s="53"/>
      <c r="G1125" s="559">
        <v>4</v>
      </c>
      <c r="H1125" s="561"/>
      <c r="I1125" s="589" t="str">
        <f>I896</f>
        <v>علی الحساب</v>
      </c>
    </row>
    <row r="1126" spans="1:9" ht="7.5" customHeight="1">
      <c r="A1126" s="591"/>
      <c r="B1126" s="585"/>
      <c r="C1126" s="54"/>
      <c r="D1126" s="54"/>
      <c r="E1126" s="54"/>
      <c r="F1126" s="54"/>
      <c r="G1126" s="560"/>
      <c r="H1126" s="562"/>
      <c r="I1126" s="590"/>
    </row>
    <row r="1127" spans="1:9" ht="7.5" customHeight="1">
      <c r="A1127" s="591"/>
      <c r="B1127" s="584" t="str">
        <f>B898</f>
        <v>عملیات انجام گرفته در سقف دوم ZONE Z5</v>
      </c>
      <c r="C1127" s="53"/>
      <c r="D1127" s="53"/>
      <c r="E1127" s="53"/>
      <c r="F1127" s="53"/>
      <c r="G1127" s="559">
        <v>0.73</v>
      </c>
      <c r="H1127" s="561"/>
      <c r="I1127" s="589" t="str">
        <f>I898</f>
        <v>علی الحساب</v>
      </c>
    </row>
    <row r="1128" spans="1:9" ht="7.5" customHeight="1">
      <c r="A1128" s="591"/>
      <c r="B1128" s="585"/>
      <c r="C1128" s="53"/>
      <c r="D1128" s="53"/>
      <c r="E1128" s="54"/>
      <c r="F1128" s="53"/>
      <c r="G1128" s="560"/>
      <c r="H1128" s="562"/>
      <c r="I1128" s="590"/>
    </row>
    <row r="1129" spans="1:9" ht="7.5" customHeight="1">
      <c r="A1129" s="591"/>
      <c r="B1129" s="584" t="str">
        <f>B900</f>
        <v>عملیات انجام گرفته در سقف دوم ZONE Y1</v>
      </c>
      <c r="C1129" s="53"/>
      <c r="D1129" s="53"/>
      <c r="E1129" s="53"/>
      <c r="F1129" s="53"/>
      <c r="G1129" s="559">
        <v>0.93</v>
      </c>
      <c r="H1129" s="561"/>
      <c r="I1129" s="589" t="str">
        <f>I900</f>
        <v>علی الحساب</v>
      </c>
    </row>
    <row r="1130" spans="1:9" ht="7.5" customHeight="1">
      <c r="A1130" s="591"/>
      <c r="B1130" s="585"/>
      <c r="C1130" s="53"/>
      <c r="D1130" s="53"/>
      <c r="E1130" s="54"/>
      <c r="F1130" s="53"/>
      <c r="G1130" s="560"/>
      <c r="H1130" s="562"/>
      <c r="I1130" s="590"/>
    </row>
    <row r="1131" spans="1:9" ht="7.5" customHeight="1">
      <c r="A1131" s="591"/>
      <c r="B1131" s="584" t="str">
        <f>B902</f>
        <v>عملیات انجام گرفته در سقف دوم ZONE Y2</v>
      </c>
      <c r="C1131" s="53"/>
      <c r="D1131" s="53"/>
      <c r="E1131" s="53"/>
      <c r="F1131" s="53"/>
      <c r="G1131" s="559">
        <v>1.52</v>
      </c>
      <c r="H1131" s="561"/>
      <c r="I1131" s="589" t="str">
        <f>I902</f>
        <v>علی الحساب</v>
      </c>
    </row>
    <row r="1132" spans="1:9" ht="7.5" customHeight="1">
      <c r="A1132" s="591"/>
      <c r="B1132" s="585"/>
      <c r="C1132" s="53"/>
      <c r="D1132" s="53"/>
      <c r="E1132" s="54"/>
      <c r="F1132" s="53"/>
      <c r="G1132" s="560"/>
      <c r="H1132" s="562"/>
      <c r="I1132" s="590"/>
    </row>
    <row r="1133" spans="1:9" ht="7.5" customHeight="1">
      <c r="A1133" s="591"/>
      <c r="B1133" s="584" t="str">
        <f>B904</f>
        <v>عملیات انجام گرفته در سقف دوم ZONE Y3</v>
      </c>
      <c r="C1133" s="53"/>
      <c r="D1133" s="53"/>
      <c r="E1133" s="53"/>
      <c r="F1133" s="53"/>
      <c r="G1133" s="559">
        <v>2.23</v>
      </c>
      <c r="H1133" s="561"/>
      <c r="I1133" s="589" t="str">
        <f>I904</f>
        <v>علی الحساب</v>
      </c>
    </row>
    <row r="1134" spans="1:9" ht="7.5" customHeight="1">
      <c r="A1134" s="591"/>
      <c r="B1134" s="585"/>
      <c r="C1134" s="53"/>
      <c r="D1134" s="53"/>
      <c r="E1134" s="54"/>
      <c r="F1134" s="53"/>
      <c r="G1134" s="560"/>
      <c r="H1134" s="562"/>
      <c r="I1134" s="590"/>
    </row>
    <row r="1135" spans="1:9" ht="12" customHeight="1">
      <c r="A1135" s="592"/>
      <c r="B1135" s="565" t="s">
        <v>33</v>
      </c>
      <c r="C1135" s="566"/>
      <c r="D1135" s="566"/>
      <c r="E1135" s="567"/>
      <c r="F1135" s="299" t="str">
        <f>A1052</f>
        <v>090802</v>
      </c>
      <c r="G1135" s="300">
        <f>SUM(G1053:G1134)</f>
        <v>204.38</v>
      </c>
      <c r="H1135" s="301">
        <f>SUM(H1053:H1102)</f>
        <v>0</v>
      </c>
      <c r="I1135" s="302" t="str">
        <f>IF(F1135="","",VLOOKUP(F1135,'ابنیه 95'!$A:$E,3,FALSE))</f>
        <v>مترطول</v>
      </c>
    </row>
    <row r="1136" spans="1:9" ht="12" customHeight="1">
      <c r="A1136" s="551" t="s">
        <v>3068</v>
      </c>
      <c r="B1136" s="593" t="s">
        <v>3069</v>
      </c>
      <c r="C1136" s="594"/>
      <c r="D1136" s="594"/>
      <c r="E1136" s="594"/>
      <c r="F1136" s="594"/>
      <c r="G1136" s="594"/>
      <c r="H1136" s="594"/>
      <c r="I1136" s="595"/>
    </row>
    <row r="1137" spans="1:9" ht="9" customHeight="1">
      <c r="A1137" s="591"/>
      <c r="B1137" s="584" t="s">
        <v>3033</v>
      </c>
      <c r="C1137" s="53">
        <v>53.05</v>
      </c>
      <c r="D1137" s="53">
        <v>3</v>
      </c>
      <c r="E1137" s="54"/>
      <c r="F1137" s="53">
        <v>3.77</v>
      </c>
      <c r="G1137" s="559">
        <f>F1137*D1137*C1137</f>
        <v>599.99549999999999</v>
      </c>
      <c r="H1137" s="561"/>
      <c r="I1137" s="589" t="s">
        <v>65</v>
      </c>
    </row>
    <row r="1138" spans="1:9" ht="9" customHeight="1">
      <c r="A1138" s="591"/>
      <c r="B1138" s="585"/>
      <c r="C1138" s="54"/>
      <c r="D1138" s="54"/>
      <c r="E1138" s="54"/>
      <c r="F1138" s="54"/>
      <c r="G1138" s="560"/>
      <c r="H1138" s="562"/>
      <c r="I1138" s="590"/>
    </row>
    <row r="1139" spans="1:9" ht="9" customHeight="1">
      <c r="A1139" s="591"/>
      <c r="B1139" s="584" t="s">
        <v>3034</v>
      </c>
      <c r="C1139" s="53">
        <v>60.9</v>
      </c>
      <c r="D1139" s="53">
        <v>3</v>
      </c>
      <c r="E1139" s="54"/>
      <c r="F1139" s="53">
        <v>3.77</v>
      </c>
      <c r="G1139" s="559">
        <f t="shared" ref="G1139" si="77">F1139*D1139*C1139</f>
        <v>688.779</v>
      </c>
      <c r="H1139" s="561"/>
      <c r="I1139" s="589" t="s">
        <v>65</v>
      </c>
    </row>
    <row r="1140" spans="1:9" ht="9" customHeight="1">
      <c r="A1140" s="591"/>
      <c r="B1140" s="585"/>
      <c r="C1140" s="54"/>
      <c r="D1140" s="54"/>
      <c r="E1140" s="54"/>
      <c r="F1140" s="54"/>
      <c r="G1140" s="560"/>
      <c r="H1140" s="562"/>
      <c r="I1140" s="590"/>
    </row>
    <row r="1141" spans="1:9" ht="9" customHeight="1">
      <c r="A1141" s="591"/>
      <c r="B1141" s="584" t="s">
        <v>3071</v>
      </c>
      <c r="C1141" s="53">
        <v>80.36</v>
      </c>
      <c r="D1141" s="53">
        <v>3</v>
      </c>
      <c r="E1141" s="54"/>
      <c r="F1141" s="53">
        <v>3.77</v>
      </c>
      <c r="G1141" s="559">
        <f t="shared" ref="G1141" si="78">F1141*D1141*C1141</f>
        <v>908.87160000000006</v>
      </c>
      <c r="H1141" s="561"/>
      <c r="I1141" s="589" t="s">
        <v>65</v>
      </c>
    </row>
    <row r="1142" spans="1:9" ht="9" customHeight="1">
      <c r="A1142" s="591"/>
      <c r="B1142" s="585"/>
      <c r="C1142" s="54"/>
      <c r="D1142" s="54"/>
      <c r="E1142" s="54"/>
      <c r="F1142" s="54"/>
      <c r="G1142" s="560"/>
      <c r="H1142" s="562"/>
      <c r="I1142" s="590"/>
    </row>
    <row r="1143" spans="1:9" ht="9" customHeight="1">
      <c r="A1143" s="591"/>
      <c r="B1143" s="584" t="s">
        <v>3072</v>
      </c>
      <c r="C1143" s="53">
        <v>5</v>
      </c>
      <c r="D1143" s="53">
        <v>45</v>
      </c>
      <c r="E1143" s="54"/>
      <c r="F1143" s="53">
        <v>3.77</v>
      </c>
      <c r="G1143" s="559">
        <f t="shared" ref="G1143" si="79">F1143*D1143*C1143</f>
        <v>848.25</v>
      </c>
      <c r="H1143" s="561"/>
      <c r="I1143" s="589" t="s">
        <v>65</v>
      </c>
    </row>
    <row r="1144" spans="1:9" ht="9" customHeight="1">
      <c r="A1144" s="591"/>
      <c r="B1144" s="585"/>
      <c r="C1144" s="54"/>
      <c r="D1144" s="54"/>
      <c r="E1144" s="54"/>
      <c r="F1144" s="54"/>
      <c r="G1144" s="560"/>
      <c r="H1144" s="562"/>
      <c r="I1144" s="590"/>
    </row>
    <row r="1145" spans="1:9" ht="12" customHeight="1">
      <c r="A1145" s="592"/>
      <c r="B1145" s="565" t="s">
        <v>33</v>
      </c>
      <c r="C1145" s="566"/>
      <c r="D1145" s="566"/>
      <c r="E1145" s="567"/>
      <c r="F1145" s="299" t="str">
        <f>A1136</f>
        <v>****</v>
      </c>
      <c r="G1145" s="404">
        <f>SUM(G1137:G1144)</f>
        <v>3045.8960999999999</v>
      </c>
      <c r="H1145" s="405"/>
      <c r="I1145" s="302" t="s">
        <v>3070</v>
      </c>
    </row>
    <row r="1146" spans="1:9" ht="9.9" customHeight="1">
      <c r="A1146" s="586" t="s">
        <v>163</v>
      </c>
      <c r="B1146" s="587"/>
      <c r="C1146" s="587"/>
      <c r="D1146" s="587"/>
      <c r="E1146" s="587"/>
      <c r="F1146" s="587"/>
      <c r="G1146" s="587"/>
      <c r="H1146" s="587"/>
      <c r="I1146" s="588"/>
    </row>
    <row r="1147" spans="1:9" ht="9.9" customHeight="1">
      <c r="A1147" s="578">
        <v>100104</v>
      </c>
      <c r="B1147" s="581" t="str">
        <f>IF(A1147="","",VLOOKUP(A1147,'ابنیه 95'!$A:$E,2,FALSE))</f>
        <v>اجراي سقف بتني به ضخامت 35 سانتي‌متر با تيرچه و بلوك توخالي بتني، شامل تهيه تمام مصالح به استثناي ميل‌گرد، و همچنين تهيه تجهيزات مورد لزوم به طور كامل.</v>
      </c>
      <c r="C1147" s="582"/>
      <c r="D1147" s="582"/>
      <c r="E1147" s="582"/>
      <c r="F1147" s="582"/>
      <c r="G1147" s="582"/>
      <c r="H1147" s="582"/>
      <c r="I1147" s="583"/>
    </row>
    <row r="1148" spans="1:9" ht="6.9" customHeight="1">
      <c r="A1148" s="579"/>
      <c r="B1148" s="584" t="str">
        <f>B1071</f>
        <v xml:space="preserve">سقف زیرزمین درZONE Z1 </v>
      </c>
      <c r="C1148" s="53"/>
      <c r="D1148" s="53"/>
      <c r="E1148" s="54"/>
      <c r="F1148" s="53"/>
      <c r="G1148" s="559">
        <v>53.34</v>
      </c>
      <c r="H1148" s="561"/>
      <c r="I1148" s="563" t="str">
        <f>I1071</f>
        <v>علی الحساب</v>
      </c>
    </row>
    <row r="1149" spans="1:9" ht="6.9" customHeight="1">
      <c r="A1149" s="579"/>
      <c r="B1149" s="585"/>
      <c r="C1149" s="54"/>
      <c r="D1149" s="54"/>
      <c r="E1149" s="54"/>
      <c r="F1149" s="54"/>
      <c r="G1149" s="560"/>
      <c r="H1149" s="562"/>
      <c r="I1149" s="564"/>
    </row>
    <row r="1150" spans="1:9" ht="6.9" customHeight="1">
      <c r="A1150" s="579"/>
      <c r="B1150" s="584" t="str">
        <f>B1073</f>
        <v>سقف زیرزمین درZONE Z2</v>
      </c>
      <c r="C1150" s="53"/>
      <c r="D1150" s="53"/>
      <c r="E1150" s="54"/>
      <c r="F1150" s="53"/>
      <c r="G1150" s="559">
        <v>290.94</v>
      </c>
      <c r="H1150" s="561"/>
      <c r="I1150" s="563" t="str">
        <f>I1073</f>
        <v>علی الحساب</v>
      </c>
    </row>
    <row r="1151" spans="1:9" ht="6.9" customHeight="1">
      <c r="A1151" s="579"/>
      <c r="B1151" s="585"/>
      <c r="C1151" s="54"/>
      <c r="D1151" s="54"/>
      <c r="E1151" s="54"/>
      <c r="F1151" s="54"/>
      <c r="G1151" s="560"/>
      <c r="H1151" s="562"/>
      <c r="I1151" s="564"/>
    </row>
    <row r="1152" spans="1:9" ht="6.9" customHeight="1">
      <c r="A1152" s="579"/>
      <c r="B1152" s="584" t="str">
        <f>B1075</f>
        <v>سقف زیرزمین درZONE Z3</v>
      </c>
      <c r="C1152" s="53"/>
      <c r="D1152" s="53"/>
      <c r="E1152" s="54"/>
      <c r="F1152" s="53"/>
      <c r="G1152" s="559">
        <v>265.3</v>
      </c>
      <c r="H1152" s="561"/>
      <c r="I1152" s="563" t="str">
        <f>I1075</f>
        <v>علی الحساب</v>
      </c>
    </row>
    <row r="1153" spans="1:9" ht="6.9" customHeight="1">
      <c r="A1153" s="579"/>
      <c r="B1153" s="585"/>
      <c r="C1153" s="54"/>
      <c r="D1153" s="54"/>
      <c r="E1153" s="54"/>
      <c r="F1153" s="54"/>
      <c r="G1153" s="560"/>
      <c r="H1153" s="562"/>
      <c r="I1153" s="564"/>
    </row>
    <row r="1154" spans="1:9" ht="6.9" customHeight="1">
      <c r="A1154" s="579"/>
      <c r="B1154" s="584" t="str">
        <f>B1077</f>
        <v>سقف زیرزمین درZONE Z4</v>
      </c>
      <c r="C1154" s="53"/>
      <c r="D1154" s="53"/>
      <c r="E1154" s="54"/>
      <c r="F1154" s="53"/>
      <c r="G1154" s="559">
        <v>380.71</v>
      </c>
      <c r="H1154" s="561"/>
      <c r="I1154" s="563" t="str">
        <f>I1077</f>
        <v>علی الحساب</v>
      </c>
    </row>
    <row r="1155" spans="1:9" ht="6.9" customHeight="1">
      <c r="A1155" s="579"/>
      <c r="B1155" s="585"/>
      <c r="C1155" s="54"/>
      <c r="D1155" s="54"/>
      <c r="E1155" s="54"/>
      <c r="F1155" s="54"/>
      <c r="G1155" s="560"/>
      <c r="H1155" s="562"/>
      <c r="I1155" s="564"/>
    </row>
    <row r="1156" spans="1:9" ht="6.9" customHeight="1">
      <c r="A1156" s="579"/>
      <c r="B1156" s="584" t="str">
        <f>B1079</f>
        <v>سقف زیرزمین درZONE Z5</v>
      </c>
      <c r="C1156" s="53"/>
      <c r="D1156" s="53"/>
      <c r="E1156" s="54"/>
      <c r="F1156" s="53"/>
      <c r="G1156" s="559">
        <v>69.83</v>
      </c>
      <c r="H1156" s="561"/>
      <c r="I1156" s="563" t="str">
        <f>I1079</f>
        <v>علی الحساب</v>
      </c>
    </row>
    <row r="1157" spans="1:9" ht="6.9" customHeight="1">
      <c r="A1157" s="579"/>
      <c r="B1157" s="585"/>
      <c r="C1157" s="54"/>
      <c r="D1157" s="54"/>
      <c r="E1157" s="54"/>
      <c r="F1157" s="54"/>
      <c r="G1157" s="560"/>
      <c r="H1157" s="562"/>
      <c r="I1157" s="564"/>
    </row>
    <row r="1158" spans="1:9" ht="6.9" customHeight="1">
      <c r="A1158" s="579"/>
      <c r="B1158" s="584" t="str">
        <f>B1081</f>
        <v>سقف زیرزمین درZONE Y1</v>
      </c>
      <c r="C1158" s="53"/>
      <c r="D1158" s="53"/>
      <c r="E1158" s="54"/>
      <c r="F1158" s="53"/>
      <c r="G1158" s="559">
        <v>77.319999999999993</v>
      </c>
      <c r="H1158" s="561"/>
      <c r="I1158" s="563" t="str">
        <f>I1081</f>
        <v>صورتجلسه شماره:12</v>
      </c>
    </row>
    <row r="1159" spans="1:9" ht="6.9" customHeight="1">
      <c r="A1159" s="579"/>
      <c r="B1159" s="585"/>
      <c r="C1159" s="54"/>
      <c r="D1159" s="54"/>
      <c r="E1159" s="54"/>
      <c r="F1159" s="54"/>
      <c r="G1159" s="560"/>
      <c r="H1159" s="562"/>
      <c r="I1159" s="564"/>
    </row>
    <row r="1160" spans="1:9" ht="6.9" customHeight="1">
      <c r="A1160" s="579"/>
      <c r="B1160" s="584" t="str">
        <f>B1083</f>
        <v>سقف زیرزمین درZONE Y2</v>
      </c>
      <c r="C1160" s="53"/>
      <c r="D1160" s="53"/>
      <c r="E1160" s="54"/>
      <c r="F1160" s="53"/>
      <c r="G1160" s="559">
        <v>120.28</v>
      </c>
      <c r="H1160" s="561"/>
      <c r="I1160" s="563" t="str">
        <f>I1083</f>
        <v>صورتجلسه شماره:13</v>
      </c>
    </row>
    <row r="1161" spans="1:9" ht="6.9" customHeight="1">
      <c r="A1161" s="579"/>
      <c r="B1161" s="585"/>
      <c r="C1161" s="54"/>
      <c r="D1161" s="54"/>
      <c r="E1161" s="54"/>
      <c r="F1161" s="54"/>
      <c r="G1161" s="560"/>
      <c r="H1161" s="562"/>
      <c r="I1161" s="564"/>
    </row>
    <row r="1162" spans="1:9" ht="6.9" customHeight="1">
      <c r="A1162" s="579"/>
      <c r="B1162" s="584" t="str">
        <f>B1085</f>
        <v>سقف زیرزمین درZONE Y3</v>
      </c>
      <c r="C1162" s="53"/>
      <c r="D1162" s="53"/>
      <c r="E1162" s="54"/>
      <c r="F1162" s="53"/>
      <c r="G1162" s="559">
        <v>212.52</v>
      </c>
      <c r="H1162" s="561"/>
      <c r="I1162" s="563" t="str">
        <f>I1085</f>
        <v>علی الحساب</v>
      </c>
    </row>
    <row r="1163" spans="1:9" ht="6.9" customHeight="1">
      <c r="A1163" s="579"/>
      <c r="B1163" s="585"/>
      <c r="C1163" s="54"/>
      <c r="D1163" s="54"/>
      <c r="E1163" s="54"/>
      <c r="F1163" s="54"/>
      <c r="G1163" s="560"/>
      <c r="H1163" s="562"/>
      <c r="I1163" s="564"/>
    </row>
    <row r="1164" spans="1:9" ht="6.9" customHeight="1">
      <c r="A1164" s="579"/>
      <c r="B1164" s="584" t="str">
        <f>B1119</f>
        <v>عملیات انجام گرفته در سقف دوم ZONE Z1</v>
      </c>
      <c r="C1164" s="53"/>
      <c r="D1164" s="53"/>
      <c r="E1164" s="54"/>
      <c r="F1164" s="53"/>
      <c r="G1164" s="559">
        <v>70.569999999999993</v>
      </c>
      <c r="H1164" s="561"/>
      <c r="I1164" s="589" t="str">
        <f>I1119</f>
        <v>علی الحساب</v>
      </c>
    </row>
    <row r="1165" spans="1:9" ht="6.9" customHeight="1">
      <c r="A1165" s="579"/>
      <c r="B1165" s="585"/>
      <c r="C1165" s="54"/>
      <c r="D1165" s="54"/>
      <c r="E1165" s="54"/>
      <c r="F1165" s="54"/>
      <c r="G1165" s="560"/>
      <c r="H1165" s="562"/>
      <c r="I1165" s="590"/>
    </row>
    <row r="1166" spans="1:9" ht="6.9" customHeight="1">
      <c r="A1166" s="579"/>
      <c r="B1166" s="584" t="str">
        <f>B1121</f>
        <v>عملیات انجام گرفته در سقف دوم ZONE Z2</v>
      </c>
      <c r="C1166" s="53"/>
      <c r="D1166" s="53"/>
      <c r="E1166" s="54"/>
      <c r="F1166" s="53"/>
      <c r="G1166" s="559">
        <v>375.03</v>
      </c>
      <c r="H1166" s="561"/>
      <c r="I1166" s="589" t="str">
        <f>I1121</f>
        <v>علی الحساب</v>
      </c>
    </row>
    <row r="1167" spans="1:9" ht="6.9" customHeight="1">
      <c r="A1167" s="579"/>
      <c r="B1167" s="585"/>
      <c r="C1167" s="54"/>
      <c r="D1167" s="54"/>
      <c r="E1167" s="54"/>
      <c r="F1167" s="54"/>
      <c r="G1167" s="560"/>
      <c r="H1167" s="562"/>
      <c r="I1167" s="590"/>
    </row>
    <row r="1168" spans="1:9" ht="6.9" customHeight="1">
      <c r="A1168" s="579"/>
      <c r="B1168" s="584" t="str">
        <f>B1123</f>
        <v>عملیات انجام گرفته در سقف دوم ZONE Z3</v>
      </c>
      <c r="C1168" s="53"/>
      <c r="D1168" s="53"/>
      <c r="E1168" s="54"/>
      <c r="F1168" s="53"/>
      <c r="G1168" s="559">
        <v>290.83</v>
      </c>
      <c r="H1168" s="561"/>
      <c r="I1168" s="589" t="str">
        <f>I1123</f>
        <v>علی الحساب</v>
      </c>
    </row>
    <row r="1169" spans="1:9" ht="6.9" customHeight="1">
      <c r="A1169" s="579"/>
      <c r="B1169" s="585"/>
      <c r="C1169" s="54"/>
      <c r="D1169" s="54"/>
      <c r="E1169" s="54"/>
      <c r="F1169" s="54"/>
      <c r="G1169" s="560"/>
      <c r="H1169" s="562"/>
      <c r="I1169" s="590"/>
    </row>
    <row r="1170" spans="1:9" ht="6.9" customHeight="1">
      <c r="A1170" s="579"/>
      <c r="B1170" s="584" t="str">
        <f>B1125</f>
        <v>عملیات انجام گرفته در سقف دوم ZONE Z4</v>
      </c>
      <c r="C1170" s="53"/>
      <c r="D1170" s="53"/>
      <c r="E1170" s="54"/>
      <c r="F1170" s="53"/>
      <c r="G1170" s="559">
        <v>503.69</v>
      </c>
      <c r="H1170" s="561"/>
      <c r="I1170" s="589" t="str">
        <f>I1125</f>
        <v>علی الحساب</v>
      </c>
    </row>
    <row r="1171" spans="1:9" ht="6.9" customHeight="1">
      <c r="A1171" s="579"/>
      <c r="B1171" s="585"/>
      <c r="C1171" s="54"/>
      <c r="D1171" s="54"/>
      <c r="E1171" s="54"/>
      <c r="F1171" s="54"/>
      <c r="G1171" s="560"/>
      <c r="H1171" s="562"/>
      <c r="I1171" s="590"/>
    </row>
    <row r="1172" spans="1:9" ht="6.9" customHeight="1">
      <c r="A1172" s="579"/>
      <c r="B1172" s="584" t="str">
        <f>B1127</f>
        <v>عملیات انجام گرفته در سقف دوم ZONE Z5</v>
      </c>
      <c r="C1172" s="53"/>
      <c r="D1172" s="53"/>
      <c r="E1172" s="54"/>
      <c r="F1172" s="53"/>
      <c r="G1172" s="559">
        <v>92.38</v>
      </c>
      <c r="H1172" s="561"/>
      <c r="I1172" s="589" t="str">
        <f>I1127</f>
        <v>علی الحساب</v>
      </c>
    </row>
    <row r="1173" spans="1:9" ht="6.9" customHeight="1">
      <c r="A1173" s="579"/>
      <c r="B1173" s="585"/>
      <c r="C1173" s="54"/>
      <c r="D1173" s="54"/>
      <c r="E1173" s="54"/>
      <c r="F1173" s="54"/>
      <c r="G1173" s="560"/>
      <c r="H1173" s="562"/>
      <c r="I1173" s="590"/>
    </row>
    <row r="1174" spans="1:9" ht="6.9" customHeight="1">
      <c r="A1174" s="579"/>
      <c r="B1174" s="584" t="str">
        <f>B1129</f>
        <v>عملیات انجام گرفته در سقف دوم ZONE Y1</v>
      </c>
      <c r="C1174" s="53"/>
      <c r="D1174" s="53"/>
      <c r="E1174" s="54"/>
      <c r="F1174" s="53"/>
      <c r="G1174" s="559">
        <v>117.37</v>
      </c>
      <c r="H1174" s="561"/>
      <c r="I1174" s="589" t="str">
        <f>I1129</f>
        <v>علی الحساب</v>
      </c>
    </row>
    <row r="1175" spans="1:9" ht="6.9" customHeight="1">
      <c r="A1175" s="579"/>
      <c r="B1175" s="585"/>
      <c r="C1175" s="54"/>
      <c r="D1175" s="54"/>
      <c r="E1175" s="54"/>
      <c r="F1175" s="54"/>
      <c r="G1175" s="560"/>
      <c r="H1175" s="562"/>
      <c r="I1175" s="590"/>
    </row>
    <row r="1176" spans="1:9" ht="6.9" customHeight="1">
      <c r="A1176" s="579"/>
      <c r="B1176" s="584" t="str">
        <f>B1131</f>
        <v>عملیات انجام گرفته در سقف دوم ZONE Y2</v>
      </c>
      <c r="C1176" s="53"/>
      <c r="D1176" s="53"/>
      <c r="E1176" s="54"/>
      <c r="F1176" s="53"/>
      <c r="G1176" s="559">
        <v>192.12</v>
      </c>
      <c r="H1176" s="561"/>
      <c r="I1176" s="589" t="str">
        <f>I1131</f>
        <v>علی الحساب</v>
      </c>
    </row>
    <row r="1177" spans="1:9" ht="6.9" customHeight="1">
      <c r="A1177" s="579"/>
      <c r="B1177" s="585"/>
      <c r="C1177" s="54"/>
      <c r="D1177" s="54"/>
      <c r="E1177" s="54"/>
      <c r="F1177" s="54"/>
      <c r="G1177" s="560"/>
      <c r="H1177" s="562"/>
      <c r="I1177" s="590"/>
    </row>
    <row r="1178" spans="1:9" ht="6.9" customHeight="1">
      <c r="A1178" s="579"/>
      <c r="B1178" s="584" t="str">
        <f>B1133</f>
        <v>عملیات انجام گرفته در سقف دوم ZONE Y3</v>
      </c>
      <c r="C1178" s="53"/>
      <c r="D1178" s="53"/>
      <c r="E1178" s="54"/>
      <c r="F1178" s="53"/>
      <c r="G1178" s="559">
        <v>281.16000000000003</v>
      </c>
      <c r="H1178" s="561"/>
      <c r="I1178" s="589" t="str">
        <f>I1133</f>
        <v>علی الحساب</v>
      </c>
    </row>
    <row r="1179" spans="1:9" ht="6.9" customHeight="1">
      <c r="A1179" s="579"/>
      <c r="B1179" s="585"/>
      <c r="C1179" s="54"/>
      <c r="D1179" s="54"/>
      <c r="E1179" s="54"/>
      <c r="F1179" s="54"/>
      <c r="G1179" s="560"/>
      <c r="H1179" s="562"/>
      <c r="I1179" s="590"/>
    </row>
    <row r="1180" spans="1:9" ht="9.9" customHeight="1">
      <c r="A1180" s="629"/>
      <c r="B1180" s="565" t="s">
        <v>33</v>
      </c>
      <c r="C1180" s="566"/>
      <c r="D1180" s="566"/>
      <c r="E1180" s="567"/>
      <c r="F1180" s="411">
        <f>A1147</f>
        <v>100104</v>
      </c>
      <c r="G1180" s="300">
        <f>SUM(G1148:G1179)</f>
        <v>3393.3899999999994</v>
      </c>
      <c r="H1180" s="301">
        <f>SUM(H1160:H1163)</f>
        <v>0</v>
      </c>
      <c r="I1180" s="302" t="str">
        <f>IF(F1180="","",VLOOKUP(F1180,'ابنیه 95'!$A:$E,3,FALSE))</f>
        <v>مترمربع</v>
      </c>
    </row>
    <row r="1181" spans="1:9" ht="9.9" customHeight="1">
      <c r="A1181" s="578">
        <v>100404</v>
      </c>
      <c r="B1181" s="571" t="str">
        <f>IF(A1181="","",VLOOKUP(A1181,'ابنیه 95'!$A:$E,2,FALSE))</f>
        <v>اضافه بها به رديف‌هاي سقف سبك با بلوك بتني در صورتي كه در تهيه بلوك از پوكه استفاده شده باشد.</v>
      </c>
      <c r="C1181" s="572"/>
      <c r="D1181" s="572"/>
      <c r="E1181" s="572"/>
      <c r="F1181" s="572"/>
      <c r="G1181" s="572"/>
      <c r="H1181" s="572"/>
      <c r="I1181" s="573"/>
    </row>
    <row r="1182" spans="1:9" ht="6.75" customHeight="1">
      <c r="A1182" s="579"/>
      <c r="B1182" s="584" t="str">
        <f>B1148</f>
        <v xml:space="preserve">سقف زیرزمین درZONE Z1 </v>
      </c>
      <c r="C1182" s="53"/>
      <c r="D1182" s="53"/>
      <c r="E1182" s="54"/>
      <c r="F1182" s="53"/>
      <c r="G1182" s="559">
        <f>G1148</f>
        <v>53.34</v>
      </c>
      <c r="H1182" s="561"/>
      <c r="I1182" s="563" t="str">
        <f>I1148</f>
        <v>علی الحساب</v>
      </c>
    </row>
    <row r="1183" spans="1:9" ht="6.9" customHeight="1">
      <c r="A1183" s="579"/>
      <c r="B1183" s="585"/>
      <c r="C1183" s="54"/>
      <c r="D1183" s="54"/>
      <c r="E1183" s="54"/>
      <c r="F1183" s="54"/>
      <c r="G1183" s="560"/>
      <c r="H1183" s="562"/>
      <c r="I1183" s="564"/>
    </row>
    <row r="1184" spans="1:9" ht="6.9" customHeight="1">
      <c r="A1184" s="579"/>
      <c r="B1184" s="584" t="str">
        <f>B1150</f>
        <v>سقف زیرزمین درZONE Z2</v>
      </c>
      <c r="C1184" s="53"/>
      <c r="D1184" s="53"/>
      <c r="E1184" s="54"/>
      <c r="F1184" s="53"/>
      <c r="G1184" s="559">
        <f>G1150</f>
        <v>290.94</v>
      </c>
      <c r="H1184" s="561"/>
      <c r="I1184" s="563" t="str">
        <f>I1150</f>
        <v>علی الحساب</v>
      </c>
    </row>
    <row r="1185" spans="1:9" ht="6.9" customHeight="1">
      <c r="A1185" s="579"/>
      <c r="B1185" s="585"/>
      <c r="C1185" s="54"/>
      <c r="D1185" s="54"/>
      <c r="E1185" s="54"/>
      <c r="F1185" s="54"/>
      <c r="G1185" s="560"/>
      <c r="H1185" s="562"/>
      <c r="I1185" s="564"/>
    </row>
    <row r="1186" spans="1:9" ht="6.9" customHeight="1">
      <c r="A1186" s="579"/>
      <c r="B1186" s="584" t="str">
        <f>B1152</f>
        <v>سقف زیرزمین درZONE Z3</v>
      </c>
      <c r="C1186" s="53"/>
      <c r="D1186" s="53"/>
      <c r="E1186" s="54"/>
      <c r="F1186" s="53"/>
      <c r="G1186" s="559">
        <f>G1152</f>
        <v>265.3</v>
      </c>
      <c r="H1186" s="561"/>
      <c r="I1186" s="563" t="str">
        <f>I1152</f>
        <v>علی الحساب</v>
      </c>
    </row>
    <row r="1187" spans="1:9" ht="6.9" customHeight="1">
      <c r="A1187" s="579"/>
      <c r="B1187" s="585"/>
      <c r="C1187" s="54"/>
      <c r="D1187" s="54"/>
      <c r="E1187" s="54"/>
      <c r="F1187" s="54"/>
      <c r="G1187" s="560"/>
      <c r="H1187" s="562"/>
      <c r="I1187" s="564"/>
    </row>
    <row r="1188" spans="1:9" ht="6.9" customHeight="1">
      <c r="A1188" s="579"/>
      <c r="B1188" s="584" t="str">
        <f>B1154</f>
        <v>سقف زیرزمین درZONE Z4</v>
      </c>
      <c r="C1188" s="53"/>
      <c r="D1188" s="53"/>
      <c r="E1188" s="54"/>
      <c r="F1188" s="53"/>
      <c r="G1188" s="559">
        <f>G1154</f>
        <v>380.71</v>
      </c>
      <c r="H1188" s="561"/>
      <c r="I1188" s="563" t="str">
        <f>I1154</f>
        <v>علی الحساب</v>
      </c>
    </row>
    <row r="1189" spans="1:9" ht="6.9" customHeight="1">
      <c r="A1189" s="579"/>
      <c r="B1189" s="585"/>
      <c r="C1189" s="54"/>
      <c r="D1189" s="54"/>
      <c r="E1189" s="54"/>
      <c r="F1189" s="54"/>
      <c r="G1189" s="560"/>
      <c r="H1189" s="562"/>
      <c r="I1189" s="564"/>
    </row>
    <row r="1190" spans="1:9" ht="6.9" customHeight="1">
      <c r="A1190" s="579"/>
      <c r="B1190" s="584" t="str">
        <f>B1156</f>
        <v>سقف زیرزمین درZONE Z5</v>
      </c>
      <c r="C1190" s="53"/>
      <c r="D1190" s="53"/>
      <c r="E1190" s="54"/>
      <c r="F1190" s="53"/>
      <c r="G1190" s="559">
        <f>G1156</f>
        <v>69.83</v>
      </c>
      <c r="H1190" s="561"/>
      <c r="I1190" s="563" t="str">
        <f>I1156</f>
        <v>علی الحساب</v>
      </c>
    </row>
    <row r="1191" spans="1:9" ht="6.9" customHeight="1">
      <c r="A1191" s="579"/>
      <c r="B1191" s="585"/>
      <c r="C1191" s="54"/>
      <c r="D1191" s="54"/>
      <c r="E1191" s="54"/>
      <c r="F1191" s="54"/>
      <c r="G1191" s="560"/>
      <c r="H1191" s="562"/>
      <c r="I1191" s="564"/>
    </row>
    <row r="1192" spans="1:9" ht="6.9" customHeight="1">
      <c r="A1192" s="579"/>
      <c r="B1192" s="584" t="str">
        <f>B1158</f>
        <v>سقف زیرزمین درZONE Y1</v>
      </c>
      <c r="C1192" s="53"/>
      <c r="D1192" s="53"/>
      <c r="E1192" s="54"/>
      <c r="F1192" s="53"/>
      <c r="G1192" s="559">
        <f>G1158</f>
        <v>77.319999999999993</v>
      </c>
      <c r="H1192" s="561"/>
      <c r="I1192" s="563" t="str">
        <f>I1158</f>
        <v>صورتجلسه شماره:12</v>
      </c>
    </row>
    <row r="1193" spans="1:9" ht="6.9" customHeight="1">
      <c r="A1193" s="579"/>
      <c r="B1193" s="585"/>
      <c r="C1193" s="54"/>
      <c r="D1193" s="54"/>
      <c r="E1193" s="54"/>
      <c r="F1193" s="54"/>
      <c r="G1193" s="560"/>
      <c r="H1193" s="562"/>
      <c r="I1193" s="564"/>
    </row>
    <row r="1194" spans="1:9" ht="6.9" customHeight="1">
      <c r="A1194" s="579"/>
      <c r="B1194" s="584" t="str">
        <f>B1160</f>
        <v>سقف زیرزمین درZONE Y2</v>
      </c>
      <c r="C1194" s="53"/>
      <c r="D1194" s="53"/>
      <c r="E1194" s="54"/>
      <c r="F1194" s="53"/>
      <c r="G1194" s="559">
        <f>G1160</f>
        <v>120.28</v>
      </c>
      <c r="H1194" s="561"/>
      <c r="I1194" s="563" t="str">
        <f>I1160</f>
        <v>صورتجلسه شماره:13</v>
      </c>
    </row>
    <row r="1195" spans="1:9" ht="6.9" customHeight="1">
      <c r="A1195" s="579"/>
      <c r="B1195" s="585"/>
      <c r="C1195" s="54"/>
      <c r="D1195" s="54"/>
      <c r="E1195" s="54"/>
      <c r="F1195" s="54"/>
      <c r="G1195" s="560"/>
      <c r="H1195" s="562"/>
      <c r="I1195" s="564"/>
    </row>
    <row r="1196" spans="1:9" ht="6.9" customHeight="1">
      <c r="A1196" s="579"/>
      <c r="B1196" s="584" t="str">
        <f>B1162</f>
        <v>سقف زیرزمین درZONE Y3</v>
      </c>
      <c r="C1196" s="53"/>
      <c r="D1196" s="53"/>
      <c r="E1196" s="54"/>
      <c r="F1196" s="53"/>
      <c r="G1196" s="559">
        <f>G1162</f>
        <v>212.52</v>
      </c>
      <c r="H1196" s="561"/>
      <c r="I1196" s="563" t="str">
        <f>I1162</f>
        <v>علی الحساب</v>
      </c>
    </row>
    <row r="1197" spans="1:9" ht="6.9" customHeight="1">
      <c r="A1197" s="579"/>
      <c r="B1197" s="585"/>
      <c r="C1197" s="54"/>
      <c r="D1197" s="54"/>
      <c r="E1197" s="54"/>
      <c r="F1197" s="54"/>
      <c r="G1197" s="560"/>
      <c r="H1197" s="562"/>
      <c r="I1197" s="564"/>
    </row>
    <row r="1198" spans="1:9" ht="6.75" customHeight="1">
      <c r="A1198" s="579"/>
      <c r="B1198" s="584" t="str">
        <f>B1164</f>
        <v>عملیات انجام گرفته در سقف دوم ZONE Z1</v>
      </c>
      <c r="C1198" s="53"/>
      <c r="D1198" s="53"/>
      <c r="E1198" s="54"/>
      <c r="F1198" s="53"/>
      <c r="G1198" s="559">
        <f>G1164</f>
        <v>70.569999999999993</v>
      </c>
      <c r="H1198" s="561"/>
      <c r="I1198" s="563" t="str">
        <f>I1164</f>
        <v>علی الحساب</v>
      </c>
    </row>
    <row r="1199" spans="1:9" ht="6.9" customHeight="1">
      <c r="A1199" s="579"/>
      <c r="B1199" s="585"/>
      <c r="C1199" s="54"/>
      <c r="D1199" s="54"/>
      <c r="E1199" s="54"/>
      <c r="F1199" s="54"/>
      <c r="G1199" s="560"/>
      <c r="H1199" s="562"/>
      <c r="I1199" s="564"/>
    </row>
    <row r="1200" spans="1:9" ht="6.9" customHeight="1">
      <c r="A1200" s="579"/>
      <c r="B1200" s="584" t="str">
        <f>B1166</f>
        <v>عملیات انجام گرفته در سقف دوم ZONE Z2</v>
      </c>
      <c r="C1200" s="53"/>
      <c r="D1200" s="53"/>
      <c r="E1200" s="54"/>
      <c r="F1200" s="53"/>
      <c r="G1200" s="559">
        <f>G1166</f>
        <v>375.03</v>
      </c>
      <c r="H1200" s="561"/>
      <c r="I1200" s="563" t="str">
        <f>I1166</f>
        <v>علی الحساب</v>
      </c>
    </row>
    <row r="1201" spans="1:9" ht="6.9" customHeight="1">
      <c r="A1201" s="579"/>
      <c r="B1201" s="585"/>
      <c r="C1201" s="54"/>
      <c r="D1201" s="54"/>
      <c r="E1201" s="54"/>
      <c r="F1201" s="54"/>
      <c r="G1201" s="560"/>
      <c r="H1201" s="562"/>
      <c r="I1201" s="564"/>
    </row>
    <row r="1202" spans="1:9" ht="6.9" customHeight="1">
      <c r="A1202" s="579"/>
      <c r="B1202" s="584" t="str">
        <f>B1168</f>
        <v>عملیات انجام گرفته در سقف دوم ZONE Z3</v>
      </c>
      <c r="C1202" s="53"/>
      <c r="D1202" s="53"/>
      <c r="E1202" s="54"/>
      <c r="F1202" s="53"/>
      <c r="G1202" s="559">
        <f>G1168</f>
        <v>290.83</v>
      </c>
      <c r="H1202" s="561"/>
      <c r="I1202" s="563" t="str">
        <f>I1168</f>
        <v>علی الحساب</v>
      </c>
    </row>
    <row r="1203" spans="1:9" ht="6.9" customHeight="1">
      <c r="A1203" s="579"/>
      <c r="B1203" s="585"/>
      <c r="C1203" s="54"/>
      <c r="D1203" s="54"/>
      <c r="E1203" s="54"/>
      <c r="F1203" s="54"/>
      <c r="G1203" s="560"/>
      <c r="H1203" s="562"/>
      <c r="I1203" s="564"/>
    </row>
    <row r="1204" spans="1:9" ht="6.9" customHeight="1">
      <c r="A1204" s="579"/>
      <c r="B1204" s="584" t="str">
        <f>B1170</f>
        <v>عملیات انجام گرفته در سقف دوم ZONE Z4</v>
      </c>
      <c r="C1204" s="53"/>
      <c r="D1204" s="53"/>
      <c r="E1204" s="54"/>
      <c r="F1204" s="53"/>
      <c r="G1204" s="559">
        <f>G1170</f>
        <v>503.69</v>
      </c>
      <c r="H1204" s="561"/>
      <c r="I1204" s="563" t="str">
        <f>I1170</f>
        <v>علی الحساب</v>
      </c>
    </row>
    <row r="1205" spans="1:9" ht="6.9" customHeight="1">
      <c r="A1205" s="579"/>
      <c r="B1205" s="585"/>
      <c r="C1205" s="54"/>
      <c r="D1205" s="54"/>
      <c r="E1205" s="54"/>
      <c r="F1205" s="54"/>
      <c r="G1205" s="560"/>
      <c r="H1205" s="562"/>
      <c r="I1205" s="564"/>
    </row>
    <row r="1206" spans="1:9" ht="6.9" customHeight="1">
      <c r="A1206" s="579"/>
      <c r="B1206" s="584" t="str">
        <f>B1172</f>
        <v>عملیات انجام گرفته در سقف دوم ZONE Z5</v>
      </c>
      <c r="C1206" s="53"/>
      <c r="D1206" s="53"/>
      <c r="E1206" s="54"/>
      <c r="F1206" s="53"/>
      <c r="G1206" s="559">
        <f>G1172</f>
        <v>92.38</v>
      </c>
      <c r="H1206" s="561"/>
      <c r="I1206" s="563" t="str">
        <f>I1172</f>
        <v>علی الحساب</v>
      </c>
    </row>
    <row r="1207" spans="1:9" ht="6.9" customHeight="1">
      <c r="A1207" s="579"/>
      <c r="B1207" s="585"/>
      <c r="C1207" s="54"/>
      <c r="D1207" s="54"/>
      <c r="E1207" s="54"/>
      <c r="F1207" s="54"/>
      <c r="G1207" s="560"/>
      <c r="H1207" s="562"/>
      <c r="I1207" s="564"/>
    </row>
    <row r="1208" spans="1:9" ht="6.9" customHeight="1">
      <c r="A1208" s="579"/>
      <c r="B1208" s="584" t="str">
        <f>B1174</f>
        <v>عملیات انجام گرفته در سقف دوم ZONE Y1</v>
      </c>
      <c r="C1208" s="53"/>
      <c r="D1208" s="53"/>
      <c r="E1208" s="54"/>
      <c r="F1208" s="53"/>
      <c r="G1208" s="559">
        <f>G1174</f>
        <v>117.37</v>
      </c>
      <c r="H1208" s="561"/>
      <c r="I1208" s="563" t="str">
        <f>I1174</f>
        <v>علی الحساب</v>
      </c>
    </row>
    <row r="1209" spans="1:9" ht="6.9" customHeight="1">
      <c r="A1209" s="579"/>
      <c r="B1209" s="585"/>
      <c r="C1209" s="54"/>
      <c r="D1209" s="54"/>
      <c r="E1209" s="54"/>
      <c r="F1209" s="54"/>
      <c r="G1209" s="560"/>
      <c r="H1209" s="562"/>
      <c r="I1209" s="564"/>
    </row>
    <row r="1210" spans="1:9" ht="6.9" customHeight="1">
      <c r="A1210" s="579"/>
      <c r="B1210" s="584" t="str">
        <f>B1176</f>
        <v>عملیات انجام گرفته در سقف دوم ZONE Y2</v>
      </c>
      <c r="C1210" s="53"/>
      <c r="D1210" s="53"/>
      <c r="E1210" s="54"/>
      <c r="F1210" s="53"/>
      <c r="G1210" s="559">
        <f>G1176</f>
        <v>192.12</v>
      </c>
      <c r="H1210" s="561"/>
      <c r="I1210" s="563" t="str">
        <f>I1176</f>
        <v>علی الحساب</v>
      </c>
    </row>
    <row r="1211" spans="1:9" ht="6.9" customHeight="1">
      <c r="A1211" s="579"/>
      <c r="B1211" s="585"/>
      <c r="C1211" s="54"/>
      <c r="D1211" s="54"/>
      <c r="E1211" s="54"/>
      <c r="F1211" s="54"/>
      <c r="G1211" s="560"/>
      <c r="H1211" s="562"/>
      <c r="I1211" s="564"/>
    </row>
    <row r="1212" spans="1:9" ht="6.9" customHeight="1">
      <c r="A1212" s="579"/>
      <c r="B1212" s="584" t="str">
        <f>B1178</f>
        <v>عملیات انجام گرفته در سقف دوم ZONE Y3</v>
      </c>
      <c r="C1212" s="53"/>
      <c r="D1212" s="53"/>
      <c r="E1212" s="54"/>
      <c r="F1212" s="53"/>
      <c r="G1212" s="559">
        <f>G1178</f>
        <v>281.16000000000003</v>
      </c>
      <c r="H1212" s="561"/>
      <c r="I1212" s="563" t="str">
        <f>I1178</f>
        <v>علی الحساب</v>
      </c>
    </row>
    <row r="1213" spans="1:9" ht="6.9" customHeight="1">
      <c r="A1213" s="579"/>
      <c r="B1213" s="585"/>
      <c r="C1213" s="54"/>
      <c r="D1213" s="54"/>
      <c r="E1213" s="54"/>
      <c r="F1213" s="54"/>
      <c r="G1213" s="560"/>
      <c r="H1213" s="562"/>
      <c r="I1213" s="564"/>
    </row>
    <row r="1214" spans="1:9" ht="9.9" customHeight="1">
      <c r="A1214" s="629"/>
      <c r="B1214" s="565" t="s">
        <v>33</v>
      </c>
      <c r="C1214" s="566"/>
      <c r="D1214" s="566"/>
      <c r="E1214" s="567"/>
      <c r="F1214" s="411">
        <f>A1181</f>
        <v>100404</v>
      </c>
      <c r="G1214" s="300">
        <f>SUM(G1182:G1213)</f>
        <v>3393.3899999999994</v>
      </c>
      <c r="H1214" s="301"/>
      <c r="I1214" s="302" t="str">
        <f>IF(F1214="","",VLOOKUP(F1214,'ابنیه 95'!$A:$E,3,FALSE))</f>
        <v>مترمربع</v>
      </c>
    </row>
    <row r="1215" spans="1:9" ht="9.9" customHeight="1">
      <c r="A1215" s="586" t="s">
        <v>174</v>
      </c>
      <c r="B1215" s="587"/>
      <c r="C1215" s="587"/>
      <c r="D1215" s="587"/>
      <c r="E1215" s="587"/>
      <c r="F1215" s="587"/>
      <c r="G1215" s="587"/>
      <c r="H1215" s="587"/>
      <c r="I1215" s="588"/>
    </row>
    <row r="1216" spans="1:9" ht="9.9" customHeight="1">
      <c r="A1216" s="578">
        <v>110201</v>
      </c>
      <c r="B1216" s="571" t="str">
        <f>IF(A1216="","",VLOOKUP(A1216,'ابنیه 95'!$A:$E,2,FALSE))</f>
        <v>آجركاري با آجر فشاري به ضخامت يك و نيم آجر و بيشتر و ملات ماسه سيمان 1:6.</v>
      </c>
      <c r="C1216" s="572"/>
      <c r="D1216" s="572"/>
      <c r="E1216" s="572"/>
      <c r="F1216" s="572"/>
      <c r="G1216" s="572"/>
      <c r="H1216" s="572"/>
      <c r="I1216" s="573"/>
    </row>
    <row r="1217" spans="1:9" ht="6.9" customHeight="1">
      <c r="A1217" s="607"/>
      <c r="B1217" s="584" t="str">
        <f>B1035</f>
        <v>عملیات انجام گرفته در زیرزمین ZONE Z1</v>
      </c>
      <c r="C1217" s="53"/>
      <c r="D1217" s="53"/>
      <c r="E1217" s="54"/>
      <c r="F1217" s="53"/>
      <c r="G1217" s="559">
        <v>12.05</v>
      </c>
      <c r="H1217" s="561">
        <v>0</v>
      </c>
      <c r="I1217" s="589" t="str">
        <f>I1035</f>
        <v>علی الحساب</v>
      </c>
    </row>
    <row r="1218" spans="1:9" ht="6.9" customHeight="1">
      <c r="A1218" s="607"/>
      <c r="B1218" s="585"/>
      <c r="C1218" s="54"/>
      <c r="D1218" s="54"/>
      <c r="E1218" s="54"/>
      <c r="F1218" s="54"/>
      <c r="G1218" s="560"/>
      <c r="H1218" s="562"/>
      <c r="I1218" s="590"/>
    </row>
    <row r="1219" spans="1:9" ht="6.9" customHeight="1">
      <c r="A1219" s="607"/>
      <c r="B1219" s="584" t="str">
        <f>B1037</f>
        <v>عملیات انجام گرفته در زیرزمین ZONE Z2</v>
      </c>
      <c r="C1219" s="53"/>
      <c r="D1219" s="53"/>
      <c r="E1219" s="54"/>
      <c r="F1219" s="53"/>
      <c r="G1219" s="559">
        <v>64.03</v>
      </c>
      <c r="H1219" s="561">
        <v>0</v>
      </c>
      <c r="I1219" s="589" t="str">
        <f>I1037</f>
        <v>علی الحساب</v>
      </c>
    </row>
    <row r="1220" spans="1:9" ht="6.9" customHeight="1">
      <c r="A1220" s="607"/>
      <c r="B1220" s="585"/>
      <c r="C1220" s="54"/>
      <c r="D1220" s="54"/>
      <c r="E1220" s="54"/>
      <c r="F1220" s="54"/>
      <c r="G1220" s="560"/>
      <c r="H1220" s="562"/>
      <c r="I1220" s="590"/>
    </row>
    <row r="1221" spans="1:9" ht="6.9" customHeight="1">
      <c r="A1221" s="607"/>
      <c r="B1221" s="584" t="str">
        <f>B1039</f>
        <v>عملیات انجام گرفته در زیرزمین ZONE Z3</v>
      </c>
      <c r="C1221" s="53"/>
      <c r="D1221" s="53"/>
      <c r="E1221" s="54"/>
      <c r="F1221" s="53"/>
      <c r="G1221" s="559">
        <v>49.65</v>
      </c>
      <c r="H1221" s="561">
        <v>0</v>
      </c>
      <c r="I1221" s="589" t="str">
        <f>I1039</f>
        <v>علی الحساب</v>
      </c>
    </row>
    <row r="1222" spans="1:9" ht="6.9" customHeight="1">
      <c r="A1222" s="607"/>
      <c r="B1222" s="585"/>
      <c r="C1222" s="54"/>
      <c r="D1222" s="54"/>
      <c r="E1222" s="54"/>
      <c r="F1222" s="54"/>
      <c r="G1222" s="560"/>
      <c r="H1222" s="562"/>
      <c r="I1222" s="590"/>
    </row>
    <row r="1223" spans="1:9" ht="6.9" customHeight="1">
      <c r="A1223" s="607"/>
      <c r="B1223" s="584" t="str">
        <f>B1041</f>
        <v>عملیات انجام گرفته در زیرزمین ZONE Z4</v>
      </c>
      <c r="C1223" s="53"/>
      <c r="D1223" s="53"/>
      <c r="E1223" s="54"/>
      <c r="F1223" s="53"/>
      <c r="G1223" s="559">
        <v>85.98</v>
      </c>
      <c r="H1223" s="561">
        <v>0</v>
      </c>
      <c r="I1223" s="589" t="str">
        <f>I1041</f>
        <v>علی الحساب</v>
      </c>
    </row>
    <row r="1224" spans="1:9" ht="6.9" customHeight="1">
      <c r="A1224" s="607"/>
      <c r="B1224" s="585"/>
      <c r="C1224" s="54"/>
      <c r="D1224" s="54"/>
      <c r="E1224" s="54"/>
      <c r="F1224" s="54"/>
      <c r="G1224" s="560"/>
      <c r="H1224" s="562"/>
      <c r="I1224" s="590"/>
    </row>
    <row r="1225" spans="1:9" ht="6.9" customHeight="1">
      <c r="A1225" s="607"/>
      <c r="B1225" s="584" t="str">
        <f>B1043</f>
        <v>عملیات انجام گرفته در زیرزمین ZONE Z5</v>
      </c>
      <c r="C1225" s="53"/>
      <c r="D1225" s="53"/>
      <c r="E1225" s="54"/>
      <c r="F1225" s="53"/>
      <c r="G1225" s="559">
        <v>15.77</v>
      </c>
      <c r="H1225" s="561">
        <v>0</v>
      </c>
      <c r="I1225" s="589" t="str">
        <f>I1043</f>
        <v>علی الحساب</v>
      </c>
    </row>
    <row r="1226" spans="1:9" ht="6.9" customHeight="1">
      <c r="A1226" s="607"/>
      <c r="B1226" s="585"/>
      <c r="C1226" s="54"/>
      <c r="D1226" s="54"/>
      <c r="E1226" s="54"/>
      <c r="F1226" s="54"/>
      <c r="G1226" s="560"/>
      <c r="H1226" s="562"/>
      <c r="I1226" s="590"/>
    </row>
    <row r="1227" spans="1:9" ht="6.9" customHeight="1">
      <c r="A1227" s="607"/>
      <c r="B1227" s="584" t="str">
        <f>B1045</f>
        <v>عملیات انجام گرفته در زیرزمین ZONE Y1</v>
      </c>
      <c r="C1227" s="53"/>
      <c r="D1227" s="53"/>
      <c r="E1227" s="54"/>
      <c r="F1227" s="53"/>
      <c r="G1227" s="559">
        <v>20.04</v>
      </c>
      <c r="H1227" s="561">
        <v>0</v>
      </c>
      <c r="I1227" s="589" t="str">
        <f>I1045</f>
        <v>علی الحساب</v>
      </c>
    </row>
    <row r="1228" spans="1:9" ht="6.9" customHeight="1">
      <c r="A1228" s="607"/>
      <c r="B1228" s="585"/>
      <c r="C1228" s="54"/>
      <c r="D1228" s="54"/>
      <c r="E1228" s="54"/>
      <c r="F1228" s="54"/>
      <c r="G1228" s="560"/>
      <c r="H1228" s="562"/>
      <c r="I1228" s="590"/>
    </row>
    <row r="1229" spans="1:9" ht="6.9" customHeight="1">
      <c r="A1229" s="607"/>
      <c r="B1229" s="584" t="str">
        <f>B1047</f>
        <v>عملیات انجام گرفته در زیرزمین ZONE Y2</v>
      </c>
      <c r="C1229" s="53"/>
      <c r="D1229" s="53"/>
      <c r="E1229" s="54"/>
      <c r="F1229" s="53"/>
      <c r="G1229" s="559">
        <v>32.799999999999997</v>
      </c>
      <c r="H1229" s="561">
        <v>0</v>
      </c>
      <c r="I1229" s="589" t="str">
        <f>I1047</f>
        <v>علی الحساب</v>
      </c>
    </row>
    <row r="1230" spans="1:9" ht="6.9" customHeight="1">
      <c r="A1230" s="607"/>
      <c r="B1230" s="585"/>
      <c r="C1230" s="54"/>
      <c r="D1230" s="54"/>
      <c r="E1230" s="54"/>
      <c r="F1230" s="54"/>
      <c r="G1230" s="560"/>
      <c r="H1230" s="562"/>
      <c r="I1230" s="590"/>
    </row>
    <row r="1231" spans="1:9" ht="6.9" customHeight="1">
      <c r="A1231" s="607"/>
      <c r="B1231" s="584" t="str">
        <f>B1049</f>
        <v>عملیات انجام گرفته در زیرزمین ZONE Y3</v>
      </c>
      <c r="C1231" s="53"/>
      <c r="D1231" s="53"/>
      <c r="E1231" s="54"/>
      <c r="F1231" s="53"/>
      <c r="G1231" s="559">
        <v>48</v>
      </c>
      <c r="H1231" s="561">
        <v>0</v>
      </c>
      <c r="I1231" s="589" t="str">
        <f>I1049</f>
        <v>علی الحساب</v>
      </c>
    </row>
    <row r="1232" spans="1:9" ht="6.9" customHeight="1">
      <c r="A1232" s="607"/>
      <c r="B1232" s="585"/>
      <c r="C1232" s="54"/>
      <c r="D1232" s="54"/>
      <c r="E1232" s="54"/>
      <c r="F1232" s="54"/>
      <c r="G1232" s="560"/>
      <c r="H1232" s="562"/>
      <c r="I1232" s="590"/>
    </row>
    <row r="1233" spans="1:9" ht="9.9" customHeight="1">
      <c r="A1233" s="580"/>
      <c r="B1233" s="565" t="s">
        <v>33</v>
      </c>
      <c r="C1233" s="566"/>
      <c r="D1233" s="566"/>
      <c r="E1233" s="567"/>
      <c r="F1233" s="411">
        <f>A1216</f>
        <v>110201</v>
      </c>
      <c r="G1233" s="300">
        <f>SUM(G1217:G1232)</f>
        <v>328.32</v>
      </c>
      <c r="H1233" s="301">
        <f>SUM(H1217:H1218)</f>
        <v>0</v>
      </c>
      <c r="I1233" s="302" t="str">
        <f>IF(F1233="","",VLOOKUP(F1233,'ابنیه 95'!$A:$E,3,FALSE))</f>
        <v>مترمکعب</v>
      </c>
    </row>
    <row r="1234" spans="1:9" ht="9.9" customHeight="1">
      <c r="A1234" s="578">
        <v>110205</v>
      </c>
      <c r="B1234" s="571" t="str">
        <f>IF(A1234="","",VLOOKUP(A1234,'ابنیه 95'!$A:$E,2,FALSE))</f>
        <v>ديوار يك آجره با آجر فشاري و ملات ماسه سيمان 1:6.</v>
      </c>
      <c r="C1234" s="572"/>
      <c r="D1234" s="572"/>
      <c r="E1234" s="572"/>
      <c r="F1234" s="572"/>
      <c r="G1234" s="572"/>
      <c r="H1234" s="572"/>
      <c r="I1234" s="573"/>
    </row>
    <row r="1235" spans="1:9" ht="6.9" customHeight="1">
      <c r="A1235" s="607"/>
      <c r="B1235" s="584" t="str">
        <f>B1217</f>
        <v>عملیات انجام گرفته در زیرزمین ZONE Z1</v>
      </c>
      <c r="C1235" s="53"/>
      <c r="D1235" s="53"/>
      <c r="E1235" s="54"/>
      <c r="F1235" s="53"/>
      <c r="G1235" s="559">
        <v>99.82</v>
      </c>
      <c r="H1235" s="561">
        <v>0</v>
      </c>
      <c r="I1235" s="563" t="str">
        <f>I1217</f>
        <v>علی الحساب</v>
      </c>
    </row>
    <row r="1236" spans="1:9" ht="6.9" customHeight="1">
      <c r="A1236" s="607"/>
      <c r="B1236" s="585"/>
      <c r="C1236" s="54"/>
      <c r="D1236" s="54"/>
      <c r="E1236" s="54"/>
      <c r="F1236" s="54"/>
      <c r="G1236" s="560"/>
      <c r="H1236" s="562"/>
      <c r="I1236" s="564"/>
    </row>
    <row r="1237" spans="1:9" ht="6.9" customHeight="1">
      <c r="A1237" s="607"/>
      <c r="B1237" s="584" t="str">
        <f>B1219</f>
        <v>عملیات انجام گرفته در زیرزمین ZONE Z2</v>
      </c>
      <c r="C1237" s="53"/>
      <c r="D1237" s="53"/>
      <c r="E1237" s="54"/>
      <c r="F1237" s="53"/>
      <c r="G1237" s="559">
        <v>530.5</v>
      </c>
      <c r="H1237" s="561">
        <v>0</v>
      </c>
      <c r="I1237" s="563" t="str">
        <f>I1219</f>
        <v>علی الحساب</v>
      </c>
    </row>
    <row r="1238" spans="1:9" ht="6.9" customHeight="1">
      <c r="A1238" s="607"/>
      <c r="B1238" s="585"/>
      <c r="C1238" s="54"/>
      <c r="D1238" s="54"/>
      <c r="E1238" s="54"/>
      <c r="F1238" s="54"/>
      <c r="G1238" s="560"/>
      <c r="H1238" s="562"/>
      <c r="I1238" s="564"/>
    </row>
    <row r="1239" spans="1:9" ht="6.9" customHeight="1">
      <c r="A1239" s="607"/>
      <c r="B1239" s="584" t="str">
        <f>B1221</f>
        <v>عملیات انجام گرفته در زیرزمین ZONE Z3</v>
      </c>
      <c r="C1239" s="53"/>
      <c r="D1239" s="53"/>
      <c r="E1239" s="54"/>
      <c r="F1239" s="53"/>
      <c r="G1239" s="559">
        <v>411.39</v>
      </c>
      <c r="H1239" s="561">
        <v>0</v>
      </c>
      <c r="I1239" s="563" t="str">
        <f>I1221</f>
        <v>علی الحساب</v>
      </c>
    </row>
    <row r="1240" spans="1:9" ht="6.9" customHeight="1">
      <c r="A1240" s="607"/>
      <c r="B1240" s="585"/>
      <c r="C1240" s="54"/>
      <c r="D1240" s="54"/>
      <c r="E1240" s="54"/>
      <c r="F1240" s="54"/>
      <c r="G1240" s="560"/>
      <c r="H1240" s="562"/>
      <c r="I1240" s="564"/>
    </row>
    <row r="1241" spans="1:9" ht="6.9" customHeight="1">
      <c r="A1241" s="607"/>
      <c r="B1241" s="584" t="str">
        <f>B1223</f>
        <v>عملیات انجام گرفته در زیرزمین ZONE Z4</v>
      </c>
      <c r="C1241" s="53"/>
      <c r="D1241" s="53"/>
      <c r="E1241" s="54"/>
      <c r="F1241" s="53"/>
      <c r="G1241" s="559">
        <v>712.44</v>
      </c>
      <c r="H1241" s="561">
        <v>0</v>
      </c>
      <c r="I1241" s="563" t="str">
        <f>I1223</f>
        <v>علی الحساب</v>
      </c>
    </row>
    <row r="1242" spans="1:9" ht="6.9" customHeight="1">
      <c r="A1242" s="607"/>
      <c r="B1242" s="585"/>
      <c r="C1242" s="54"/>
      <c r="D1242" s="54"/>
      <c r="E1242" s="54"/>
      <c r="F1242" s="54"/>
      <c r="G1242" s="560"/>
      <c r="H1242" s="562"/>
      <c r="I1242" s="564"/>
    </row>
    <row r="1243" spans="1:9" ht="6.9" customHeight="1">
      <c r="A1243" s="607"/>
      <c r="B1243" s="584" t="str">
        <f>B1225</f>
        <v>عملیات انجام گرفته در زیرزمین ZONE Z5</v>
      </c>
      <c r="C1243" s="53"/>
      <c r="D1243" s="53"/>
      <c r="E1243" s="54"/>
      <c r="F1243" s="53"/>
      <c r="G1243" s="559">
        <v>130.68</v>
      </c>
      <c r="H1243" s="561">
        <v>0</v>
      </c>
      <c r="I1243" s="563" t="str">
        <f>I1225</f>
        <v>علی الحساب</v>
      </c>
    </row>
    <row r="1244" spans="1:9" ht="6.9" customHeight="1">
      <c r="A1244" s="607"/>
      <c r="B1244" s="585"/>
      <c r="C1244" s="54"/>
      <c r="D1244" s="54"/>
      <c r="E1244" s="54"/>
      <c r="F1244" s="54"/>
      <c r="G1244" s="560"/>
      <c r="H1244" s="562"/>
      <c r="I1244" s="564"/>
    </row>
    <row r="1245" spans="1:9" ht="6.9" customHeight="1">
      <c r="A1245" s="607"/>
      <c r="B1245" s="584" t="str">
        <f>B1227</f>
        <v>عملیات انجام گرفته در زیرزمین ZONE Y1</v>
      </c>
      <c r="C1245" s="53"/>
      <c r="D1245" s="53"/>
      <c r="E1245" s="54"/>
      <c r="F1245" s="53"/>
      <c r="G1245" s="559">
        <v>166.01</v>
      </c>
      <c r="H1245" s="561">
        <v>0</v>
      </c>
      <c r="I1245" s="563" t="str">
        <f>I1227</f>
        <v>علی الحساب</v>
      </c>
    </row>
    <row r="1246" spans="1:9" ht="6.9" customHeight="1">
      <c r="A1246" s="607"/>
      <c r="B1246" s="585"/>
      <c r="C1246" s="54"/>
      <c r="D1246" s="54"/>
      <c r="E1246" s="54"/>
      <c r="F1246" s="54"/>
      <c r="G1246" s="560"/>
      <c r="H1246" s="562"/>
      <c r="I1246" s="564"/>
    </row>
    <row r="1247" spans="1:9" ht="6.9" customHeight="1">
      <c r="A1247" s="607"/>
      <c r="B1247" s="584" t="str">
        <f>B1229</f>
        <v>عملیات انجام گرفته در زیرزمین ZONE Y2</v>
      </c>
      <c r="C1247" s="53"/>
      <c r="D1247" s="53"/>
      <c r="E1247" s="54"/>
      <c r="F1247" s="53"/>
      <c r="G1247" s="559">
        <v>271.74</v>
      </c>
      <c r="H1247" s="561">
        <v>0</v>
      </c>
      <c r="I1247" s="563" t="str">
        <f>I1229</f>
        <v>علی الحساب</v>
      </c>
    </row>
    <row r="1248" spans="1:9" ht="6.9" customHeight="1">
      <c r="A1248" s="607"/>
      <c r="B1248" s="585"/>
      <c r="C1248" s="54"/>
      <c r="D1248" s="54"/>
      <c r="E1248" s="54"/>
      <c r="F1248" s="54"/>
      <c r="G1248" s="560"/>
      <c r="H1248" s="562"/>
      <c r="I1248" s="564"/>
    </row>
    <row r="1249" spans="1:9" ht="6.9" customHeight="1">
      <c r="A1249" s="607"/>
      <c r="B1249" s="584" t="str">
        <f>B1231</f>
        <v>عملیات انجام گرفته در زیرزمین ZONE Y3</v>
      </c>
      <c r="C1249" s="53"/>
      <c r="D1249" s="53"/>
      <c r="E1249" s="54"/>
      <c r="F1249" s="53"/>
      <c r="G1249" s="559">
        <v>397.69</v>
      </c>
      <c r="H1249" s="561">
        <v>0</v>
      </c>
      <c r="I1249" s="563" t="str">
        <f>I1231</f>
        <v>علی الحساب</v>
      </c>
    </row>
    <row r="1250" spans="1:9" ht="6.9" customHeight="1">
      <c r="A1250" s="607"/>
      <c r="B1250" s="585"/>
      <c r="C1250" s="54"/>
      <c r="D1250" s="54"/>
      <c r="E1250" s="54"/>
      <c r="F1250" s="54"/>
      <c r="G1250" s="560"/>
      <c r="H1250" s="562"/>
      <c r="I1250" s="564"/>
    </row>
    <row r="1251" spans="1:9" ht="9.9" customHeight="1">
      <c r="A1251" s="580"/>
      <c r="B1251" s="565" t="s">
        <v>33</v>
      </c>
      <c r="C1251" s="566"/>
      <c r="D1251" s="566"/>
      <c r="E1251" s="567"/>
      <c r="F1251" s="411">
        <f>A1234</f>
        <v>110205</v>
      </c>
      <c r="G1251" s="300">
        <f>SUM(G1235:G1250)</f>
        <v>2720.27</v>
      </c>
      <c r="H1251" s="301">
        <f>SUM(H1235:H1236)</f>
        <v>0</v>
      </c>
      <c r="I1251" s="302" t="str">
        <f>IF(F1251="","",VLOOKUP(F1251,'ابنیه 95'!$A:$E,3,FALSE))</f>
        <v>مترمربع</v>
      </c>
    </row>
    <row r="1252" spans="1:9" ht="12" customHeight="1">
      <c r="A1252" s="578">
        <v>110208</v>
      </c>
      <c r="B1252" s="571" t="str">
        <f>IF(A1252="","",VLOOKUP(A1252,'ابنیه 95'!$A:$E,2,FALSE))</f>
        <v>ديوار نيم آجره با آجر فشاري و ملات ماسه سيمان 1:6.</v>
      </c>
      <c r="C1252" s="572"/>
      <c r="D1252" s="572"/>
      <c r="E1252" s="572"/>
      <c r="F1252" s="572"/>
      <c r="G1252" s="572"/>
      <c r="H1252" s="572"/>
      <c r="I1252" s="573"/>
    </row>
    <row r="1253" spans="1:9" ht="6.6" customHeight="1">
      <c r="A1253" s="607"/>
      <c r="B1253" s="584" t="str">
        <f>B1235</f>
        <v>عملیات انجام گرفته در زیرزمین ZONE Z1</v>
      </c>
      <c r="C1253" s="53"/>
      <c r="D1253" s="53"/>
      <c r="E1253" s="54"/>
      <c r="F1253" s="53"/>
      <c r="G1253" s="559">
        <f>G1235</f>
        <v>99.82</v>
      </c>
      <c r="H1253" s="561">
        <v>0</v>
      </c>
      <c r="I1253" s="563" t="str">
        <f>I1235</f>
        <v>علی الحساب</v>
      </c>
    </row>
    <row r="1254" spans="1:9" ht="6.6" customHeight="1">
      <c r="A1254" s="607"/>
      <c r="B1254" s="585"/>
      <c r="C1254" s="54"/>
      <c r="D1254" s="54"/>
      <c r="E1254" s="54"/>
      <c r="F1254" s="54"/>
      <c r="G1254" s="560"/>
      <c r="H1254" s="562"/>
      <c r="I1254" s="564"/>
    </row>
    <row r="1255" spans="1:9" ht="6.6" customHeight="1">
      <c r="A1255" s="607"/>
      <c r="B1255" s="584" t="str">
        <f>B1237</f>
        <v>عملیات انجام گرفته در زیرزمین ZONE Z2</v>
      </c>
      <c r="C1255" s="53"/>
      <c r="D1255" s="53"/>
      <c r="E1255" s="54"/>
      <c r="F1255" s="53"/>
      <c r="G1255" s="559">
        <f>G1237</f>
        <v>530.5</v>
      </c>
      <c r="H1255" s="561">
        <v>0</v>
      </c>
      <c r="I1255" s="563" t="str">
        <f>I1237</f>
        <v>علی الحساب</v>
      </c>
    </row>
    <row r="1256" spans="1:9" ht="6.6" customHeight="1">
      <c r="A1256" s="607"/>
      <c r="B1256" s="585"/>
      <c r="C1256" s="54"/>
      <c r="D1256" s="54"/>
      <c r="E1256" s="54"/>
      <c r="F1256" s="54"/>
      <c r="G1256" s="560"/>
      <c r="H1256" s="562"/>
      <c r="I1256" s="564"/>
    </row>
    <row r="1257" spans="1:9" ht="6.6" customHeight="1">
      <c r="A1257" s="607"/>
      <c r="B1257" s="584" t="str">
        <f>B1239</f>
        <v>عملیات انجام گرفته در زیرزمین ZONE Z3</v>
      </c>
      <c r="C1257" s="53"/>
      <c r="D1257" s="53"/>
      <c r="E1257" s="54"/>
      <c r="F1257" s="53"/>
      <c r="G1257" s="559">
        <f>G1239</f>
        <v>411.39</v>
      </c>
      <c r="H1257" s="561">
        <v>0</v>
      </c>
      <c r="I1257" s="563" t="str">
        <f>I1239</f>
        <v>علی الحساب</v>
      </c>
    </row>
    <row r="1258" spans="1:9" ht="6.6" customHeight="1">
      <c r="A1258" s="607"/>
      <c r="B1258" s="585"/>
      <c r="C1258" s="54"/>
      <c r="D1258" s="54"/>
      <c r="E1258" s="54"/>
      <c r="F1258" s="54"/>
      <c r="G1258" s="560"/>
      <c r="H1258" s="562"/>
      <c r="I1258" s="564"/>
    </row>
    <row r="1259" spans="1:9" ht="6.6" customHeight="1">
      <c r="A1259" s="607"/>
      <c r="B1259" s="584" t="str">
        <f>B1241</f>
        <v>عملیات انجام گرفته در زیرزمین ZONE Z4</v>
      </c>
      <c r="C1259" s="53"/>
      <c r="D1259" s="53"/>
      <c r="E1259" s="54"/>
      <c r="F1259" s="53"/>
      <c r="G1259" s="559">
        <f>G1241</f>
        <v>712.44</v>
      </c>
      <c r="H1259" s="561">
        <v>0</v>
      </c>
      <c r="I1259" s="563" t="str">
        <f>I1241</f>
        <v>علی الحساب</v>
      </c>
    </row>
    <row r="1260" spans="1:9" ht="6.6" customHeight="1">
      <c r="A1260" s="607"/>
      <c r="B1260" s="585"/>
      <c r="C1260" s="54"/>
      <c r="D1260" s="54"/>
      <c r="E1260" s="54"/>
      <c r="F1260" s="54"/>
      <c r="G1260" s="560"/>
      <c r="H1260" s="562"/>
      <c r="I1260" s="564"/>
    </row>
    <row r="1261" spans="1:9" ht="6.6" customHeight="1">
      <c r="A1261" s="607"/>
      <c r="B1261" s="584" t="str">
        <f>B1243</f>
        <v>عملیات انجام گرفته در زیرزمین ZONE Z5</v>
      </c>
      <c r="C1261" s="53"/>
      <c r="D1261" s="53"/>
      <c r="E1261" s="54"/>
      <c r="F1261" s="53"/>
      <c r="G1261" s="559">
        <f>G1243</f>
        <v>130.68</v>
      </c>
      <c r="H1261" s="561">
        <v>0</v>
      </c>
      <c r="I1261" s="563" t="str">
        <f>I1243</f>
        <v>علی الحساب</v>
      </c>
    </row>
    <row r="1262" spans="1:9" ht="6.6" customHeight="1">
      <c r="A1262" s="607"/>
      <c r="B1262" s="585"/>
      <c r="C1262" s="54"/>
      <c r="D1262" s="54"/>
      <c r="E1262" s="54"/>
      <c r="F1262" s="54"/>
      <c r="G1262" s="560"/>
      <c r="H1262" s="562"/>
      <c r="I1262" s="564"/>
    </row>
    <row r="1263" spans="1:9" ht="6.6" customHeight="1">
      <c r="A1263" s="607"/>
      <c r="B1263" s="584" t="str">
        <f>B1245</f>
        <v>عملیات انجام گرفته در زیرزمین ZONE Y1</v>
      </c>
      <c r="C1263" s="53"/>
      <c r="D1263" s="53"/>
      <c r="E1263" s="54"/>
      <c r="F1263" s="53"/>
      <c r="G1263" s="559">
        <f>G1245</f>
        <v>166.01</v>
      </c>
      <c r="H1263" s="561">
        <v>0</v>
      </c>
      <c r="I1263" s="563" t="str">
        <f>I1245</f>
        <v>علی الحساب</v>
      </c>
    </row>
    <row r="1264" spans="1:9" ht="6.6" customHeight="1">
      <c r="A1264" s="607"/>
      <c r="B1264" s="585"/>
      <c r="C1264" s="54"/>
      <c r="D1264" s="54"/>
      <c r="E1264" s="54"/>
      <c r="F1264" s="54"/>
      <c r="G1264" s="560"/>
      <c r="H1264" s="562"/>
      <c r="I1264" s="564"/>
    </row>
    <row r="1265" spans="1:9" ht="6.6" customHeight="1">
      <c r="A1265" s="607"/>
      <c r="B1265" s="584" t="str">
        <f>B1247</f>
        <v>عملیات انجام گرفته در زیرزمین ZONE Y2</v>
      </c>
      <c r="C1265" s="53"/>
      <c r="D1265" s="53"/>
      <c r="E1265" s="54"/>
      <c r="F1265" s="53"/>
      <c r="G1265" s="559">
        <f>G1247</f>
        <v>271.74</v>
      </c>
      <c r="H1265" s="561">
        <v>0</v>
      </c>
      <c r="I1265" s="563" t="str">
        <f>I1247</f>
        <v>علی الحساب</v>
      </c>
    </row>
    <row r="1266" spans="1:9" ht="6.6" customHeight="1">
      <c r="A1266" s="607"/>
      <c r="B1266" s="585"/>
      <c r="C1266" s="54"/>
      <c r="D1266" s="54"/>
      <c r="E1266" s="54"/>
      <c r="F1266" s="54"/>
      <c r="G1266" s="560"/>
      <c r="H1266" s="562"/>
      <c r="I1266" s="564"/>
    </row>
    <row r="1267" spans="1:9" ht="6.6" customHeight="1">
      <c r="A1267" s="607"/>
      <c r="B1267" s="584" t="str">
        <f>B1249</f>
        <v>عملیات انجام گرفته در زیرزمین ZONE Y3</v>
      </c>
      <c r="C1267" s="53"/>
      <c r="D1267" s="53"/>
      <c r="E1267" s="54"/>
      <c r="F1267" s="53"/>
      <c r="G1267" s="559">
        <f>G1249</f>
        <v>397.69</v>
      </c>
      <c r="H1267" s="561">
        <v>0</v>
      </c>
      <c r="I1267" s="563" t="str">
        <f>I1249</f>
        <v>علی الحساب</v>
      </c>
    </row>
    <row r="1268" spans="1:9" ht="6.6" customHeight="1">
      <c r="A1268" s="607"/>
      <c r="B1268" s="585"/>
      <c r="C1268" s="54"/>
      <c r="D1268" s="54"/>
      <c r="E1268" s="54"/>
      <c r="F1268" s="54"/>
      <c r="G1268" s="560"/>
      <c r="H1268" s="562"/>
      <c r="I1268" s="564"/>
    </row>
    <row r="1269" spans="1:9" ht="12" customHeight="1">
      <c r="A1269" s="580"/>
      <c r="B1269" s="565" t="s">
        <v>33</v>
      </c>
      <c r="C1269" s="566"/>
      <c r="D1269" s="566"/>
      <c r="E1269" s="567"/>
      <c r="F1269" s="411">
        <f>A1252</f>
        <v>110208</v>
      </c>
      <c r="G1269" s="300">
        <f>SUM(G1253:G1268)</f>
        <v>2720.27</v>
      </c>
      <c r="H1269" s="301">
        <f>SUM(H1253:H1254)</f>
        <v>0</v>
      </c>
      <c r="I1269" s="302" t="str">
        <f>IF(F1269="","",VLOOKUP(F1269,'ابنیه 95'!$A:$E,3,FALSE))</f>
        <v>مترمربع</v>
      </c>
    </row>
    <row r="1270" spans="1:9" ht="12" customHeight="1">
      <c r="A1270" s="578">
        <v>110402</v>
      </c>
      <c r="B1270" s="571" t="str">
        <f>IF(A1270="","",VLOOKUP(A1270,'ابنیه 95'!$A:$E,2,FALSE))</f>
        <v>آجر كاري با بلوك سفالي (آجر تيغه‌اي) به ضخامت 12 تا 22 سانتي‌متر و ملات ماسه سيمان 1:6.</v>
      </c>
      <c r="C1270" s="572"/>
      <c r="D1270" s="572"/>
      <c r="E1270" s="572"/>
      <c r="F1270" s="572"/>
      <c r="G1270" s="572"/>
      <c r="H1270" s="572"/>
      <c r="I1270" s="573"/>
    </row>
    <row r="1271" spans="1:9" ht="6.6" customHeight="1">
      <c r="A1271" s="607"/>
      <c r="B1271" s="584" t="str">
        <f>B790</f>
        <v>عملیات انجام گرفته در طبقه همکف ZONE Z1</v>
      </c>
      <c r="C1271" s="53"/>
      <c r="D1271" s="53"/>
      <c r="E1271" s="54"/>
      <c r="F1271" s="53"/>
      <c r="G1271" s="559">
        <v>30</v>
      </c>
      <c r="H1271" s="561">
        <v>0</v>
      </c>
      <c r="I1271" s="589" t="str">
        <f>I790</f>
        <v>علی الحساب</v>
      </c>
    </row>
    <row r="1272" spans="1:9" ht="6.6" customHeight="1">
      <c r="A1272" s="607"/>
      <c r="B1272" s="585"/>
      <c r="C1272" s="54"/>
      <c r="D1272" s="54"/>
      <c r="E1272" s="54"/>
      <c r="F1272" s="54"/>
      <c r="G1272" s="560"/>
      <c r="H1272" s="562"/>
      <c r="I1272" s="590"/>
    </row>
    <row r="1273" spans="1:9" ht="6.6" customHeight="1">
      <c r="A1273" s="607"/>
      <c r="B1273" s="584" t="str">
        <f>B792</f>
        <v>عملیات انجام گرفته در طبقه همکف ZONE Z2</v>
      </c>
      <c r="C1273" s="53"/>
      <c r="D1273" s="53"/>
      <c r="E1273" s="54"/>
      <c r="F1273" s="53"/>
      <c r="G1273" s="559">
        <v>159.44</v>
      </c>
      <c r="H1273" s="561">
        <v>0</v>
      </c>
      <c r="I1273" s="589" t="str">
        <f>I792</f>
        <v>علی الحساب</v>
      </c>
    </row>
    <row r="1274" spans="1:9" ht="6.6" customHeight="1">
      <c r="A1274" s="607"/>
      <c r="B1274" s="585"/>
      <c r="C1274" s="54"/>
      <c r="D1274" s="54"/>
      <c r="E1274" s="54"/>
      <c r="F1274" s="54"/>
      <c r="G1274" s="560"/>
      <c r="H1274" s="562"/>
      <c r="I1274" s="590"/>
    </row>
    <row r="1275" spans="1:9" ht="6.6" customHeight="1">
      <c r="A1275" s="607"/>
      <c r="B1275" s="584" t="str">
        <f>B794</f>
        <v>عملیات انجام گرفته در طبقه همکف ZONE Z3</v>
      </c>
      <c r="C1275" s="53"/>
      <c r="D1275" s="53"/>
      <c r="E1275" s="54"/>
      <c r="F1275" s="53"/>
      <c r="G1275" s="559">
        <v>123.64</v>
      </c>
      <c r="H1275" s="561">
        <v>0</v>
      </c>
      <c r="I1275" s="589" t="str">
        <f>I794</f>
        <v>علی الحساب</v>
      </c>
    </row>
    <row r="1276" spans="1:9" ht="6.6" customHeight="1">
      <c r="A1276" s="607"/>
      <c r="B1276" s="585"/>
      <c r="C1276" s="54"/>
      <c r="D1276" s="54"/>
      <c r="E1276" s="54"/>
      <c r="F1276" s="54"/>
      <c r="G1276" s="560"/>
      <c r="H1276" s="562"/>
      <c r="I1276" s="590"/>
    </row>
    <row r="1277" spans="1:9" ht="6.6" customHeight="1">
      <c r="A1277" s="607"/>
      <c r="B1277" s="584" t="str">
        <f t="shared" ref="B1277" si="80">B796</f>
        <v>عملیات انجام گرفته در طبقه همکف ZONE Z4</v>
      </c>
      <c r="C1277" s="53"/>
      <c r="D1277" s="53"/>
      <c r="E1277" s="54"/>
      <c r="F1277" s="53"/>
      <c r="G1277" s="559">
        <v>123.64</v>
      </c>
      <c r="H1277" s="561">
        <v>0</v>
      </c>
      <c r="I1277" s="589" t="str">
        <f>I806</f>
        <v>مترمکعب</v>
      </c>
    </row>
    <row r="1278" spans="1:9" ht="6.6" customHeight="1">
      <c r="A1278" s="607"/>
      <c r="B1278" s="585"/>
      <c r="C1278" s="54"/>
      <c r="D1278" s="54"/>
      <c r="E1278" s="54"/>
      <c r="F1278" s="54"/>
      <c r="G1278" s="560"/>
      <c r="H1278" s="562"/>
      <c r="I1278" s="590"/>
    </row>
    <row r="1279" spans="1:9" ht="6.6" customHeight="1">
      <c r="A1279" s="607"/>
      <c r="B1279" s="584" t="str">
        <f t="shared" ref="B1279" si="81">B798</f>
        <v>عملیات انجام گرفته در طبقه همکف ZONE Z5</v>
      </c>
      <c r="C1279" s="53"/>
      <c r="D1279" s="53"/>
      <c r="E1279" s="54"/>
      <c r="F1279" s="53"/>
      <c r="G1279" s="559">
        <v>214.12</v>
      </c>
      <c r="H1279" s="561">
        <v>0</v>
      </c>
      <c r="I1279" s="589" t="str">
        <f>I808</f>
        <v>صورتجلسه شماره: 3</v>
      </c>
    </row>
    <row r="1280" spans="1:9" ht="6.6" customHeight="1">
      <c r="A1280" s="607"/>
      <c r="B1280" s="585"/>
      <c r="C1280" s="54"/>
      <c r="D1280" s="54"/>
      <c r="E1280" s="54"/>
      <c r="F1280" s="54"/>
      <c r="G1280" s="560"/>
      <c r="H1280" s="562"/>
      <c r="I1280" s="590"/>
    </row>
    <row r="1281" spans="1:9" ht="6.6" customHeight="1">
      <c r="A1281" s="607"/>
      <c r="B1281" s="584" t="s">
        <v>3031</v>
      </c>
      <c r="C1281" s="53"/>
      <c r="D1281" s="53"/>
      <c r="E1281" s="54"/>
      <c r="F1281" s="53"/>
      <c r="G1281" s="559">
        <v>7.35</v>
      </c>
      <c r="H1281" s="561">
        <v>0</v>
      </c>
      <c r="I1281" s="563" t="s">
        <v>65</v>
      </c>
    </row>
    <row r="1282" spans="1:9" ht="6.6" customHeight="1">
      <c r="A1282" s="607"/>
      <c r="B1282" s="585"/>
      <c r="C1282" s="54"/>
      <c r="D1282" s="54"/>
      <c r="E1282" s="54"/>
      <c r="F1282" s="54"/>
      <c r="G1282" s="560"/>
      <c r="H1282" s="562"/>
      <c r="I1282" s="564"/>
    </row>
    <row r="1283" spans="1:9" ht="6.6" customHeight="1">
      <c r="A1283" s="607"/>
      <c r="B1283" s="584" t="s">
        <v>3032</v>
      </c>
      <c r="C1283" s="53"/>
      <c r="D1283" s="53"/>
      <c r="E1283" s="54"/>
      <c r="F1283" s="53"/>
      <c r="G1283" s="559">
        <v>39.06</v>
      </c>
      <c r="H1283" s="561">
        <v>0</v>
      </c>
      <c r="I1283" s="563" t="s">
        <v>65</v>
      </c>
    </row>
    <row r="1284" spans="1:9" ht="6.6" customHeight="1">
      <c r="A1284" s="607"/>
      <c r="B1284" s="585"/>
      <c r="C1284" s="54"/>
      <c r="D1284" s="54"/>
      <c r="E1284" s="54"/>
      <c r="F1284" s="54"/>
      <c r="G1284" s="560"/>
      <c r="H1284" s="562"/>
      <c r="I1284" s="564"/>
    </row>
    <row r="1285" spans="1:9" ht="6.6" customHeight="1">
      <c r="A1285" s="607"/>
      <c r="B1285" s="584" t="s">
        <v>3061</v>
      </c>
      <c r="C1285" s="53"/>
      <c r="D1285" s="53"/>
      <c r="E1285" s="54"/>
      <c r="F1285" s="53"/>
      <c r="G1285" s="559">
        <v>30.29</v>
      </c>
      <c r="H1285" s="561">
        <v>0</v>
      </c>
      <c r="I1285" s="563" t="s">
        <v>65</v>
      </c>
    </row>
    <row r="1286" spans="1:9" ht="6.6" customHeight="1">
      <c r="A1286" s="607"/>
      <c r="B1286" s="585"/>
      <c r="C1286" s="54"/>
      <c r="D1286" s="54"/>
      <c r="E1286" s="54"/>
      <c r="F1286" s="54"/>
      <c r="G1286" s="560"/>
      <c r="H1286" s="562"/>
      <c r="I1286" s="564"/>
    </row>
    <row r="1287" spans="1:9" ht="6.6" customHeight="1">
      <c r="A1287" s="607"/>
      <c r="B1287" s="584" t="s">
        <v>3093</v>
      </c>
      <c r="C1287" s="53"/>
      <c r="D1287" s="53"/>
      <c r="E1287" s="54"/>
      <c r="F1287" s="53"/>
      <c r="G1287" s="559">
        <v>52.46</v>
      </c>
      <c r="H1287" s="561">
        <v>0</v>
      </c>
      <c r="I1287" s="563" t="s">
        <v>65</v>
      </c>
    </row>
    <row r="1288" spans="1:9" ht="6.6" customHeight="1">
      <c r="A1288" s="607"/>
      <c r="B1288" s="585"/>
      <c r="C1288" s="54"/>
      <c r="D1288" s="54"/>
      <c r="E1288" s="54"/>
      <c r="F1288" s="54"/>
      <c r="G1288" s="560"/>
      <c r="H1288" s="562"/>
      <c r="I1288" s="564"/>
    </row>
    <row r="1289" spans="1:9" ht="6.6" customHeight="1">
      <c r="A1289" s="607"/>
      <c r="B1289" s="584" t="s">
        <v>3094</v>
      </c>
      <c r="C1289" s="53"/>
      <c r="D1289" s="53"/>
      <c r="E1289" s="54"/>
      <c r="F1289" s="53"/>
      <c r="G1289" s="559">
        <v>9.6199999999999992</v>
      </c>
      <c r="H1289" s="561">
        <v>0</v>
      </c>
      <c r="I1289" s="563" t="s">
        <v>65</v>
      </c>
    </row>
    <row r="1290" spans="1:9" ht="6.6" customHeight="1">
      <c r="A1290" s="607"/>
      <c r="B1290" s="585"/>
      <c r="C1290" s="54"/>
      <c r="D1290" s="54"/>
      <c r="E1290" s="54"/>
      <c r="F1290" s="54"/>
      <c r="G1290" s="560"/>
      <c r="H1290" s="562"/>
      <c r="I1290" s="564"/>
    </row>
    <row r="1291" spans="1:9" ht="12" customHeight="1">
      <c r="A1291" s="580"/>
      <c r="B1291" s="565" t="s">
        <v>33</v>
      </c>
      <c r="C1291" s="566"/>
      <c r="D1291" s="566"/>
      <c r="E1291" s="567"/>
      <c r="F1291" s="299">
        <f>A1270</f>
        <v>110402</v>
      </c>
      <c r="G1291" s="396">
        <f>SUM(G1271:G1290)</f>
        <v>789.62</v>
      </c>
      <c r="H1291" s="397">
        <f>SUM(H1271:H1272)</f>
        <v>0</v>
      </c>
      <c r="I1291" s="302" t="str">
        <f>IF(F1291="","",VLOOKUP(F1291,'ابنیه 95'!$A:$E,3,FALSE))</f>
        <v>مترمکعب</v>
      </c>
    </row>
    <row r="1292" spans="1:9" ht="12" customHeight="1">
      <c r="A1292" s="578">
        <v>110504</v>
      </c>
      <c r="B1292" s="571" t="str">
        <f>IF(A1292="","",VLOOKUP(A1292,'ابنیه 95'!$A:$E,2,FALSE))</f>
        <v>تيغه آجري به ضخامت 5 تا 6 سانتي‌متر با آجر ماشيني سوراخ‌دار به ابعاد آجر فشاري، با ملات گچ و خاك.</v>
      </c>
      <c r="C1292" s="572"/>
      <c r="D1292" s="572"/>
      <c r="E1292" s="572"/>
      <c r="F1292" s="572"/>
      <c r="G1292" s="572"/>
      <c r="H1292" s="572"/>
      <c r="I1292" s="573"/>
    </row>
    <row r="1293" spans="1:9" ht="6.6" customHeight="1">
      <c r="A1293" s="607"/>
      <c r="B1293" s="584" t="str">
        <f>B1253</f>
        <v>عملیات انجام گرفته در زیرزمین ZONE Z1</v>
      </c>
      <c r="C1293" s="53"/>
      <c r="D1293" s="53"/>
      <c r="E1293" s="54"/>
      <c r="F1293" s="53"/>
      <c r="G1293" s="559">
        <f>G1253</f>
        <v>99.82</v>
      </c>
      <c r="H1293" s="561">
        <v>0</v>
      </c>
      <c r="I1293" s="563" t="str">
        <f>I1253</f>
        <v>علی الحساب</v>
      </c>
    </row>
    <row r="1294" spans="1:9" ht="6.6" customHeight="1">
      <c r="A1294" s="607"/>
      <c r="B1294" s="585"/>
      <c r="C1294" s="54"/>
      <c r="D1294" s="54"/>
      <c r="E1294" s="54"/>
      <c r="F1294" s="54"/>
      <c r="G1294" s="560"/>
      <c r="H1294" s="562"/>
      <c r="I1294" s="564"/>
    </row>
    <row r="1295" spans="1:9" ht="6.6" customHeight="1">
      <c r="A1295" s="607"/>
      <c r="B1295" s="584" t="str">
        <f>B1255</f>
        <v>عملیات انجام گرفته در زیرزمین ZONE Z2</v>
      </c>
      <c r="C1295" s="53"/>
      <c r="D1295" s="53"/>
      <c r="E1295" s="54"/>
      <c r="F1295" s="53"/>
      <c r="G1295" s="559">
        <f>G1255</f>
        <v>530.5</v>
      </c>
      <c r="H1295" s="561">
        <v>0</v>
      </c>
      <c r="I1295" s="563" t="str">
        <f>I1255</f>
        <v>علی الحساب</v>
      </c>
    </row>
    <row r="1296" spans="1:9" ht="6.6" customHeight="1">
      <c r="A1296" s="607"/>
      <c r="B1296" s="585"/>
      <c r="C1296" s="54"/>
      <c r="D1296" s="54"/>
      <c r="E1296" s="54"/>
      <c r="F1296" s="54"/>
      <c r="G1296" s="560"/>
      <c r="H1296" s="562"/>
      <c r="I1296" s="564"/>
    </row>
    <row r="1297" spans="1:9" ht="6.6" customHeight="1">
      <c r="A1297" s="607"/>
      <c r="B1297" s="584" t="str">
        <f>B1257</f>
        <v>عملیات انجام گرفته در زیرزمین ZONE Z3</v>
      </c>
      <c r="C1297" s="53"/>
      <c r="D1297" s="53"/>
      <c r="E1297" s="54"/>
      <c r="F1297" s="53"/>
      <c r="G1297" s="559">
        <f>G1257</f>
        <v>411.39</v>
      </c>
      <c r="H1297" s="561">
        <v>0</v>
      </c>
      <c r="I1297" s="563" t="str">
        <f>I1257</f>
        <v>علی الحساب</v>
      </c>
    </row>
    <row r="1298" spans="1:9" ht="6.6" customHeight="1">
      <c r="A1298" s="607"/>
      <c r="B1298" s="585"/>
      <c r="C1298" s="54"/>
      <c r="D1298" s="54"/>
      <c r="E1298" s="54"/>
      <c r="F1298" s="54"/>
      <c r="G1298" s="560"/>
      <c r="H1298" s="562"/>
      <c r="I1298" s="564"/>
    </row>
    <row r="1299" spans="1:9" ht="6.6" customHeight="1">
      <c r="A1299" s="607"/>
      <c r="B1299" s="584" t="str">
        <f>B1259</f>
        <v>عملیات انجام گرفته در زیرزمین ZONE Z4</v>
      </c>
      <c r="C1299" s="53"/>
      <c r="D1299" s="53"/>
      <c r="E1299" s="54"/>
      <c r="F1299" s="53"/>
      <c r="G1299" s="559">
        <f>G1259</f>
        <v>712.44</v>
      </c>
      <c r="H1299" s="561">
        <v>0</v>
      </c>
      <c r="I1299" s="563" t="str">
        <f>I1259</f>
        <v>علی الحساب</v>
      </c>
    </row>
    <row r="1300" spans="1:9" ht="6.6" customHeight="1">
      <c r="A1300" s="607"/>
      <c r="B1300" s="585"/>
      <c r="C1300" s="54"/>
      <c r="D1300" s="54"/>
      <c r="E1300" s="54"/>
      <c r="F1300" s="54"/>
      <c r="G1300" s="560"/>
      <c r="H1300" s="562"/>
      <c r="I1300" s="564"/>
    </row>
    <row r="1301" spans="1:9" ht="6.6" customHeight="1">
      <c r="A1301" s="607"/>
      <c r="B1301" s="584" t="str">
        <f>B1261</f>
        <v>عملیات انجام گرفته در زیرزمین ZONE Z5</v>
      </c>
      <c r="C1301" s="53"/>
      <c r="D1301" s="53"/>
      <c r="E1301" s="54"/>
      <c r="F1301" s="53"/>
      <c r="G1301" s="559">
        <f>G1261</f>
        <v>130.68</v>
      </c>
      <c r="H1301" s="561">
        <v>0</v>
      </c>
      <c r="I1301" s="563" t="str">
        <f>I1261</f>
        <v>علی الحساب</v>
      </c>
    </row>
    <row r="1302" spans="1:9" ht="6.6" customHeight="1">
      <c r="A1302" s="607"/>
      <c r="B1302" s="585"/>
      <c r="C1302" s="54"/>
      <c r="D1302" s="54"/>
      <c r="E1302" s="54"/>
      <c r="F1302" s="54"/>
      <c r="G1302" s="560"/>
      <c r="H1302" s="562"/>
      <c r="I1302" s="564"/>
    </row>
    <row r="1303" spans="1:9" ht="6.6" customHeight="1">
      <c r="A1303" s="607"/>
      <c r="B1303" s="584" t="str">
        <f>B1263</f>
        <v>عملیات انجام گرفته در زیرزمین ZONE Y1</v>
      </c>
      <c r="C1303" s="53"/>
      <c r="D1303" s="53"/>
      <c r="E1303" s="54"/>
      <c r="F1303" s="53"/>
      <c r="G1303" s="559">
        <f>G1263</f>
        <v>166.01</v>
      </c>
      <c r="H1303" s="561">
        <v>0</v>
      </c>
      <c r="I1303" s="563" t="str">
        <f>I1263</f>
        <v>علی الحساب</v>
      </c>
    </row>
    <row r="1304" spans="1:9" ht="6.6" customHeight="1">
      <c r="A1304" s="607"/>
      <c r="B1304" s="585"/>
      <c r="C1304" s="54"/>
      <c r="D1304" s="54"/>
      <c r="E1304" s="54"/>
      <c r="F1304" s="54"/>
      <c r="G1304" s="560"/>
      <c r="H1304" s="562"/>
      <c r="I1304" s="564"/>
    </row>
    <row r="1305" spans="1:9" ht="6.6" customHeight="1">
      <c r="A1305" s="607"/>
      <c r="B1305" s="584" t="str">
        <f>B1265</f>
        <v>عملیات انجام گرفته در زیرزمین ZONE Y2</v>
      </c>
      <c r="C1305" s="53"/>
      <c r="D1305" s="53"/>
      <c r="E1305" s="54"/>
      <c r="F1305" s="53"/>
      <c r="G1305" s="559">
        <f>G1265</f>
        <v>271.74</v>
      </c>
      <c r="H1305" s="561">
        <v>0</v>
      </c>
      <c r="I1305" s="563" t="str">
        <f>I1265</f>
        <v>علی الحساب</v>
      </c>
    </row>
    <row r="1306" spans="1:9" ht="6.6" customHeight="1">
      <c r="A1306" s="607"/>
      <c r="B1306" s="585"/>
      <c r="C1306" s="54"/>
      <c r="D1306" s="54"/>
      <c r="E1306" s="54"/>
      <c r="F1306" s="54"/>
      <c r="G1306" s="560"/>
      <c r="H1306" s="562"/>
      <c r="I1306" s="564"/>
    </row>
    <row r="1307" spans="1:9" ht="6.6" customHeight="1">
      <c r="A1307" s="607"/>
      <c r="B1307" s="584" t="str">
        <f>B1267</f>
        <v>عملیات انجام گرفته در زیرزمین ZONE Y3</v>
      </c>
      <c r="C1307" s="53"/>
      <c r="D1307" s="53"/>
      <c r="E1307" s="54"/>
      <c r="F1307" s="53"/>
      <c r="G1307" s="559">
        <f>G1267</f>
        <v>397.69</v>
      </c>
      <c r="H1307" s="561">
        <v>0</v>
      </c>
      <c r="I1307" s="563" t="str">
        <f>I1267</f>
        <v>علی الحساب</v>
      </c>
    </row>
    <row r="1308" spans="1:9" ht="6.6" customHeight="1">
      <c r="A1308" s="607"/>
      <c r="B1308" s="585"/>
      <c r="C1308" s="54"/>
      <c r="D1308" s="54"/>
      <c r="E1308" s="54"/>
      <c r="F1308" s="54"/>
      <c r="G1308" s="560"/>
      <c r="H1308" s="562"/>
      <c r="I1308" s="564"/>
    </row>
    <row r="1309" spans="1:9" ht="12" customHeight="1">
      <c r="A1309" s="580"/>
      <c r="B1309" s="565" t="s">
        <v>33</v>
      </c>
      <c r="C1309" s="566"/>
      <c r="D1309" s="566"/>
      <c r="E1309" s="567"/>
      <c r="F1309" s="299">
        <f>A1292</f>
        <v>110504</v>
      </c>
      <c r="G1309" s="300">
        <f>SUM(G1293:G1308)</f>
        <v>2720.27</v>
      </c>
      <c r="H1309" s="301">
        <f>SUM(H1293:H1294)</f>
        <v>0</v>
      </c>
      <c r="I1309" s="302" t="str">
        <f>IF(F1309="","",VLOOKUP(F1309,'ابنیه 95'!$A:$E,3,FALSE))</f>
        <v>مترمربع</v>
      </c>
    </row>
    <row r="1310" spans="1:9" ht="12" customHeight="1">
      <c r="A1310" s="596" t="s">
        <v>1809</v>
      </c>
      <c r="B1310" s="653" t="s">
        <v>211</v>
      </c>
      <c r="C1310" s="654"/>
      <c r="D1310" s="654"/>
      <c r="E1310" s="654"/>
      <c r="F1310" s="654"/>
      <c r="G1310" s="654"/>
      <c r="H1310" s="654"/>
      <c r="I1310" s="655"/>
    </row>
    <row r="1311" spans="1:9" ht="6.6" customHeight="1">
      <c r="A1311" s="597"/>
      <c r="B1311" s="574" t="s">
        <v>1778</v>
      </c>
      <c r="C1311" s="53">
        <v>21</v>
      </c>
      <c r="D1311" s="53">
        <v>8</v>
      </c>
      <c r="E1311" s="54"/>
      <c r="F1311" s="53"/>
      <c r="G1311" s="559">
        <f>C1311*D1311</f>
        <v>168</v>
      </c>
      <c r="H1311" s="561"/>
      <c r="I1311" s="601"/>
    </row>
    <row r="1312" spans="1:9" ht="6.6" customHeight="1">
      <c r="A1312" s="597"/>
      <c r="B1312" s="575"/>
      <c r="C1312" s="54"/>
      <c r="D1312" s="54"/>
      <c r="E1312" s="54"/>
      <c r="F1312" s="54"/>
      <c r="G1312" s="560"/>
      <c r="H1312" s="562"/>
      <c r="I1312" s="602"/>
    </row>
    <row r="1313" spans="1:9" ht="12" customHeight="1">
      <c r="A1313" s="598"/>
      <c r="B1313" s="565" t="s">
        <v>33</v>
      </c>
      <c r="C1313" s="566"/>
      <c r="D1313" s="566"/>
      <c r="E1313" s="567"/>
      <c r="F1313" s="299" t="str">
        <f>A1310</f>
        <v>111004*</v>
      </c>
      <c r="G1313" s="300">
        <f>SUM(G1311:G1312)</f>
        <v>168</v>
      </c>
      <c r="H1313" s="301"/>
      <c r="I1313" s="302" t="s">
        <v>210</v>
      </c>
    </row>
    <row r="1314" spans="1:9" ht="12" customHeight="1">
      <c r="A1314" s="586" t="s">
        <v>175</v>
      </c>
      <c r="B1314" s="587"/>
      <c r="C1314" s="587"/>
      <c r="D1314" s="587"/>
      <c r="E1314" s="587"/>
      <c r="F1314" s="587"/>
      <c r="G1314" s="587"/>
      <c r="H1314" s="587"/>
      <c r="I1314" s="588"/>
    </row>
    <row r="1315" spans="1:9" ht="12" customHeight="1">
      <c r="A1315" s="578">
        <v>130303</v>
      </c>
      <c r="B1315" s="581" t="str">
        <f>IF(A1315="","",VLOOKUP(A1315,'ابنیه 95'!$A:$E,2,FALSE))</f>
        <v>عايق كاري رطوبتي، با عايق پيش ساخته درجه يك متشكل از قير و الياف پلي استر و تيشو به ضخامت 4 ميلي‌متر، به انضمام قشرآستر براي سطوح حمام‌ها، توالت‌ها و روي پي‌ها.</v>
      </c>
      <c r="C1315" s="582"/>
      <c r="D1315" s="582"/>
      <c r="E1315" s="582"/>
      <c r="F1315" s="582"/>
      <c r="G1315" s="582"/>
      <c r="H1315" s="582"/>
      <c r="I1315" s="583"/>
    </row>
    <row r="1316" spans="1:9" ht="6.6" customHeight="1">
      <c r="A1316" s="579"/>
      <c r="B1316" s="584" t="str">
        <f>B1293</f>
        <v>عملیات انجام گرفته در زیرزمین ZONE Z1</v>
      </c>
      <c r="C1316" s="53"/>
      <c r="D1316" s="53"/>
      <c r="E1316" s="54"/>
      <c r="F1316" s="53"/>
      <c r="G1316" s="559">
        <v>73.290000000000006</v>
      </c>
      <c r="H1316" s="561">
        <v>0</v>
      </c>
      <c r="I1316" s="563" t="str">
        <f>I1293</f>
        <v>علی الحساب</v>
      </c>
    </row>
    <row r="1317" spans="1:9" ht="6.6" customHeight="1">
      <c r="A1317" s="579"/>
      <c r="B1317" s="585"/>
      <c r="C1317" s="54"/>
      <c r="D1317" s="54"/>
      <c r="E1317" s="54"/>
      <c r="F1317" s="54"/>
      <c r="G1317" s="560"/>
      <c r="H1317" s="562"/>
      <c r="I1317" s="564"/>
    </row>
    <row r="1318" spans="1:9" ht="6.6" customHeight="1">
      <c r="A1318" s="579"/>
      <c r="B1318" s="584" t="str">
        <f t="shared" ref="B1318" si="82">B1295</f>
        <v>عملیات انجام گرفته در زیرزمین ZONE Z2</v>
      </c>
      <c r="C1318" s="53"/>
      <c r="D1318" s="53"/>
      <c r="E1318" s="54"/>
      <c r="F1318" s="53"/>
      <c r="G1318" s="559">
        <v>389.51</v>
      </c>
      <c r="H1318" s="561">
        <v>0</v>
      </c>
      <c r="I1318" s="563" t="str">
        <f t="shared" ref="I1318" si="83">I1295</f>
        <v>علی الحساب</v>
      </c>
    </row>
    <row r="1319" spans="1:9" ht="6.6" customHeight="1">
      <c r="A1319" s="579"/>
      <c r="B1319" s="585"/>
      <c r="C1319" s="54"/>
      <c r="D1319" s="54"/>
      <c r="E1319" s="54"/>
      <c r="F1319" s="54"/>
      <c r="G1319" s="560"/>
      <c r="H1319" s="562"/>
      <c r="I1319" s="564"/>
    </row>
    <row r="1320" spans="1:9" ht="6.6" customHeight="1">
      <c r="A1320" s="579"/>
      <c r="B1320" s="584" t="str">
        <f t="shared" ref="B1320" si="84">B1297</f>
        <v>عملیات انجام گرفته در زیرزمین ZONE Z3</v>
      </c>
      <c r="C1320" s="53"/>
      <c r="D1320" s="53"/>
      <c r="E1320" s="54"/>
      <c r="F1320" s="53"/>
      <c r="G1320" s="559">
        <v>302.06</v>
      </c>
      <c r="H1320" s="561">
        <v>0</v>
      </c>
      <c r="I1320" s="563" t="str">
        <f t="shared" ref="I1320" si="85">I1297</f>
        <v>علی الحساب</v>
      </c>
    </row>
    <row r="1321" spans="1:9" ht="6.6" customHeight="1">
      <c r="A1321" s="579"/>
      <c r="B1321" s="585"/>
      <c r="C1321" s="54"/>
      <c r="D1321" s="54"/>
      <c r="E1321" s="54"/>
      <c r="F1321" s="54"/>
      <c r="G1321" s="560"/>
      <c r="H1321" s="562"/>
      <c r="I1321" s="564"/>
    </row>
    <row r="1322" spans="1:9" ht="6.6" customHeight="1">
      <c r="A1322" s="579"/>
      <c r="B1322" s="584" t="str">
        <f t="shared" ref="B1322" si="86">B1299</f>
        <v>عملیات انجام گرفته در زیرزمین ZONE Z4</v>
      </c>
      <c r="C1322" s="53"/>
      <c r="D1322" s="53"/>
      <c r="E1322" s="54"/>
      <c r="F1322" s="53"/>
      <c r="G1322" s="559">
        <v>523.1</v>
      </c>
      <c r="H1322" s="561">
        <v>0</v>
      </c>
      <c r="I1322" s="563" t="str">
        <f t="shared" ref="I1322" si="87">I1299</f>
        <v>علی الحساب</v>
      </c>
    </row>
    <row r="1323" spans="1:9" ht="6.6" customHeight="1">
      <c r="A1323" s="579"/>
      <c r="B1323" s="585"/>
      <c r="C1323" s="54"/>
      <c r="D1323" s="54"/>
      <c r="E1323" s="54"/>
      <c r="F1323" s="54"/>
      <c r="G1323" s="560"/>
      <c r="H1323" s="562"/>
      <c r="I1323" s="564"/>
    </row>
    <row r="1324" spans="1:9" ht="6.6" customHeight="1">
      <c r="A1324" s="579"/>
      <c r="B1324" s="584" t="str">
        <f t="shared" ref="B1324" si="88">B1301</f>
        <v>عملیات انجام گرفته در زیرزمین ZONE Z5</v>
      </c>
      <c r="C1324" s="53"/>
      <c r="D1324" s="53"/>
      <c r="E1324" s="54"/>
      <c r="F1324" s="53"/>
      <c r="G1324" s="559">
        <v>95.95</v>
      </c>
      <c r="H1324" s="561">
        <v>0</v>
      </c>
      <c r="I1324" s="563" t="str">
        <f t="shared" ref="I1324" si="89">I1301</f>
        <v>علی الحساب</v>
      </c>
    </row>
    <row r="1325" spans="1:9" ht="6.6" customHeight="1">
      <c r="A1325" s="579"/>
      <c r="B1325" s="585"/>
      <c r="C1325" s="54"/>
      <c r="D1325" s="54"/>
      <c r="E1325" s="54"/>
      <c r="F1325" s="54"/>
      <c r="G1325" s="560"/>
      <c r="H1325" s="562"/>
      <c r="I1325" s="564"/>
    </row>
    <row r="1326" spans="1:9" ht="6.6" customHeight="1">
      <c r="A1326" s="579"/>
      <c r="B1326" s="584" t="str">
        <f t="shared" ref="B1326" si="90">B1303</f>
        <v>عملیات انجام گرفته در زیرزمین ZONE Y1</v>
      </c>
      <c r="C1326" s="53"/>
      <c r="D1326" s="53"/>
      <c r="E1326" s="54"/>
      <c r="F1326" s="53"/>
      <c r="G1326" s="559">
        <v>121.89</v>
      </c>
      <c r="H1326" s="561">
        <v>0</v>
      </c>
      <c r="I1326" s="563" t="str">
        <f t="shared" ref="I1326" si="91">I1303</f>
        <v>علی الحساب</v>
      </c>
    </row>
    <row r="1327" spans="1:9" ht="6.6" customHeight="1">
      <c r="A1327" s="579"/>
      <c r="B1327" s="585"/>
      <c r="C1327" s="54"/>
      <c r="D1327" s="54"/>
      <c r="E1327" s="54"/>
      <c r="F1327" s="54"/>
      <c r="G1327" s="560"/>
      <c r="H1327" s="562"/>
      <c r="I1327" s="564"/>
    </row>
    <row r="1328" spans="1:9" ht="6.6" customHeight="1">
      <c r="A1328" s="579"/>
      <c r="B1328" s="584" t="str">
        <f t="shared" ref="B1328" si="92">B1305</f>
        <v>عملیات انجام گرفته در زیرزمین ZONE Y2</v>
      </c>
      <c r="C1328" s="53"/>
      <c r="D1328" s="53"/>
      <c r="E1328" s="54"/>
      <c r="F1328" s="53"/>
      <c r="G1328" s="559">
        <v>199.52</v>
      </c>
      <c r="H1328" s="561">
        <v>0</v>
      </c>
      <c r="I1328" s="563" t="str">
        <f t="shared" ref="I1328" si="93">I1305</f>
        <v>علی الحساب</v>
      </c>
    </row>
    <row r="1329" spans="1:9" ht="6.6" customHeight="1">
      <c r="A1329" s="579"/>
      <c r="B1329" s="585"/>
      <c r="C1329" s="54"/>
      <c r="D1329" s="54"/>
      <c r="E1329" s="54"/>
      <c r="F1329" s="54"/>
      <c r="G1329" s="560"/>
      <c r="H1329" s="562"/>
      <c r="I1329" s="564"/>
    </row>
    <row r="1330" spans="1:9" ht="6.6" customHeight="1">
      <c r="A1330" s="579"/>
      <c r="B1330" s="584" t="str">
        <f t="shared" ref="B1330" si="94">B1307</f>
        <v>عملیات انجام گرفته در زیرزمین ZONE Y3</v>
      </c>
      <c r="C1330" s="53"/>
      <c r="D1330" s="53"/>
      <c r="E1330" s="54"/>
      <c r="F1330" s="53"/>
      <c r="G1330" s="559">
        <v>292</v>
      </c>
      <c r="H1330" s="561">
        <v>0</v>
      </c>
      <c r="I1330" s="563" t="str">
        <f t="shared" ref="I1330" si="95">I1307</f>
        <v>علی الحساب</v>
      </c>
    </row>
    <row r="1331" spans="1:9" ht="6.6" customHeight="1">
      <c r="A1331" s="579"/>
      <c r="B1331" s="585"/>
      <c r="C1331" s="54"/>
      <c r="D1331" s="54"/>
      <c r="E1331" s="54"/>
      <c r="F1331" s="54"/>
      <c r="G1331" s="560"/>
      <c r="H1331" s="562"/>
      <c r="I1331" s="564"/>
    </row>
    <row r="1332" spans="1:9" ht="12" customHeight="1">
      <c r="A1332" s="580"/>
      <c r="B1332" s="565" t="s">
        <v>33</v>
      </c>
      <c r="C1332" s="566"/>
      <c r="D1332" s="566"/>
      <c r="E1332" s="567"/>
      <c r="F1332" s="299">
        <f>A1315</f>
        <v>130303</v>
      </c>
      <c r="G1332" s="300">
        <f>SUM(G1316:G1331)</f>
        <v>1997.3200000000002</v>
      </c>
      <c r="H1332" s="301">
        <v>0</v>
      </c>
      <c r="I1332" s="302" t="str">
        <f>IF(F1332="","",VLOOKUP(F1332,'ابنیه 95'!$A:$E,3,FALSE))</f>
        <v>مترمربع</v>
      </c>
    </row>
    <row r="1333" spans="1:9" ht="12" customHeight="1">
      <c r="A1333" s="586" t="s">
        <v>3098</v>
      </c>
      <c r="B1333" s="587"/>
      <c r="C1333" s="587"/>
      <c r="D1333" s="587"/>
      <c r="E1333" s="587"/>
      <c r="F1333" s="587"/>
      <c r="G1333" s="587"/>
      <c r="H1333" s="587"/>
      <c r="I1333" s="588"/>
    </row>
    <row r="1334" spans="1:9" ht="12" customHeight="1">
      <c r="A1334" s="578">
        <v>160104</v>
      </c>
      <c r="B1334" s="581" t="str">
        <f>IF(A1334="","",VLOOKUP(A1334,'ابنیه 95'!$A:$E,2,FALSE))</f>
        <v>تهيه، ساخت و نصب چهارچوب، در و پنجره آهني از پروفيل‌هاي تو خالي، با جاسازي و دستمزد نصب يراق آلات همراه با جوشكاري وساييدن لازم.</v>
      </c>
      <c r="C1334" s="582"/>
      <c r="D1334" s="582"/>
      <c r="E1334" s="582"/>
      <c r="F1334" s="582"/>
      <c r="G1334" s="582"/>
      <c r="H1334" s="582"/>
      <c r="I1334" s="583"/>
    </row>
    <row r="1335" spans="1:9" ht="6.6" customHeight="1">
      <c r="A1335" s="579"/>
      <c r="B1335" s="584" t="s">
        <v>3099</v>
      </c>
      <c r="C1335" s="53"/>
      <c r="D1335" s="53"/>
      <c r="E1335" s="54"/>
      <c r="F1335" s="53"/>
      <c r="G1335" s="559"/>
      <c r="H1335" s="561">
        <v>0</v>
      </c>
      <c r="I1335" s="563" t="s">
        <v>65</v>
      </c>
    </row>
    <row r="1336" spans="1:9" ht="6.6" customHeight="1">
      <c r="A1336" s="579"/>
      <c r="B1336" s="585"/>
      <c r="C1336" s="54"/>
      <c r="D1336" s="54"/>
      <c r="E1336" s="54"/>
      <c r="F1336" s="54"/>
      <c r="G1336" s="560"/>
      <c r="H1336" s="562"/>
      <c r="I1336" s="564"/>
    </row>
    <row r="1337" spans="1:9" ht="6.6" customHeight="1">
      <c r="A1337" s="579"/>
      <c r="B1337" s="584" t="s">
        <v>3100</v>
      </c>
      <c r="C1337" s="53"/>
      <c r="D1337" s="53"/>
      <c r="E1337" s="54"/>
      <c r="F1337" s="53"/>
      <c r="G1337" s="559">
        <v>550</v>
      </c>
      <c r="H1337" s="561">
        <v>0</v>
      </c>
      <c r="I1337" s="563" t="s">
        <v>65</v>
      </c>
    </row>
    <row r="1338" spans="1:9" ht="6.6" customHeight="1">
      <c r="A1338" s="579"/>
      <c r="B1338" s="585"/>
      <c r="C1338" s="54"/>
      <c r="D1338" s="54"/>
      <c r="E1338" s="54"/>
      <c r="F1338" s="54"/>
      <c r="G1338" s="560"/>
      <c r="H1338" s="562"/>
      <c r="I1338" s="564"/>
    </row>
    <row r="1339" spans="1:9" ht="6.6" customHeight="1">
      <c r="A1339" s="579"/>
      <c r="B1339" s="584" t="s">
        <v>3101</v>
      </c>
      <c r="C1339" s="53"/>
      <c r="D1339" s="53"/>
      <c r="E1339" s="54"/>
      <c r="F1339" s="53"/>
      <c r="G1339" s="559">
        <v>500</v>
      </c>
      <c r="H1339" s="561">
        <v>0</v>
      </c>
      <c r="I1339" s="563" t="s">
        <v>65</v>
      </c>
    </row>
    <row r="1340" spans="1:9" ht="6.6" customHeight="1">
      <c r="A1340" s="579"/>
      <c r="B1340" s="585"/>
      <c r="C1340" s="54"/>
      <c r="D1340" s="54"/>
      <c r="E1340" s="54"/>
      <c r="F1340" s="54"/>
      <c r="G1340" s="560"/>
      <c r="H1340" s="562"/>
      <c r="I1340" s="564"/>
    </row>
    <row r="1341" spans="1:9" ht="6.6" customHeight="1">
      <c r="A1341" s="579"/>
      <c r="B1341" s="584" t="s">
        <v>3102</v>
      </c>
      <c r="C1341" s="53"/>
      <c r="D1341" s="53"/>
      <c r="E1341" s="54"/>
      <c r="F1341" s="53"/>
      <c r="G1341" s="559"/>
      <c r="H1341" s="561">
        <v>0</v>
      </c>
      <c r="I1341" s="563" t="s">
        <v>65</v>
      </c>
    </row>
    <row r="1342" spans="1:9" ht="6.6" customHeight="1">
      <c r="A1342" s="579"/>
      <c r="B1342" s="585"/>
      <c r="C1342" s="54"/>
      <c r="D1342" s="54"/>
      <c r="E1342" s="54"/>
      <c r="F1342" s="54"/>
      <c r="G1342" s="560"/>
      <c r="H1342" s="562"/>
      <c r="I1342" s="564"/>
    </row>
    <row r="1343" spans="1:9" ht="6.6" customHeight="1">
      <c r="A1343" s="579"/>
      <c r="B1343" s="584" t="s">
        <v>3103</v>
      </c>
      <c r="C1343" s="53"/>
      <c r="D1343" s="53"/>
      <c r="E1343" s="54"/>
      <c r="F1343" s="53"/>
      <c r="G1343" s="559"/>
      <c r="H1343" s="561">
        <v>0</v>
      </c>
      <c r="I1343" s="563" t="s">
        <v>65</v>
      </c>
    </row>
    <row r="1344" spans="1:9" ht="6.6" customHeight="1">
      <c r="A1344" s="579"/>
      <c r="B1344" s="585"/>
      <c r="C1344" s="54"/>
      <c r="D1344" s="54"/>
      <c r="E1344" s="54"/>
      <c r="F1344" s="54"/>
      <c r="G1344" s="560"/>
      <c r="H1344" s="562"/>
      <c r="I1344" s="564"/>
    </row>
    <row r="1345" spans="1:9" ht="6.6" customHeight="1">
      <c r="A1345" s="579"/>
      <c r="B1345" s="584" t="s">
        <v>3104</v>
      </c>
      <c r="C1345" s="53"/>
      <c r="D1345" s="53"/>
      <c r="E1345" s="54"/>
      <c r="F1345" s="53"/>
      <c r="G1345" s="559"/>
      <c r="H1345" s="561">
        <v>0</v>
      </c>
      <c r="I1345" s="563" t="s">
        <v>65</v>
      </c>
    </row>
    <row r="1346" spans="1:9" ht="6.6" customHeight="1">
      <c r="A1346" s="579"/>
      <c r="B1346" s="585"/>
      <c r="C1346" s="54"/>
      <c r="D1346" s="54"/>
      <c r="E1346" s="54"/>
      <c r="F1346" s="54"/>
      <c r="G1346" s="560"/>
      <c r="H1346" s="562"/>
      <c r="I1346" s="564"/>
    </row>
    <row r="1347" spans="1:9" ht="6.6" customHeight="1">
      <c r="A1347" s="579"/>
      <c r="B1347" s="584" t="s">
        <v>3105</v>
      </c>
      <c r="C1347" s="53"/>
      <c r="D1347" s="53"/>
      <c r="E1347" s="54"/>
      <c r="F1347" s="53"/>
      <c r="G1347" s="559"/>
      <c r="H1347" s="561">
        <v>0</v>
      </c>
      <c r="I1347" s="563" t="s">
        <v>65</v>
      </c>
    </row>
    <row r="1348" spans="1:9" ht="6.6" customHeight="1">
      <c r="A1348" s="579"/>
      <c r="B1348" s="585"/>
      <c r="C1348" s="54"/>
      <c r="D1348" s="54"/>
      <c r="E1348" s="54"/>
      <c r="F1348" s="54"/>
      <c r="G1348" s="560"/>
      <c r="H1348" s="562"/>
      <c r="I1348" s="564"/>
    </row>
    <row r="1349" spans="1:9" ht="6.6" customHeight="1">
      <c r="A1349" s="579"/>
      <c r="B1349" s="584" t="s">
        <v>3106</v>
      </c>
      <c r="C1349" s="53"/>
      <c r="D1349" s="53"/>
      <c r="E1349" s="54"/>
      <c r="F1349" s="53"/>
      <c r="G1349" s="559"/>
      <c r="H1349" s="561">
        <v>0</v>
      </c>
      <c r="I1349" s="563" t="s">
        <v>65</v>
      </c>
    </row>
    <row r="1350" spans="1:9" ht="6.6" customHeight="1">
      <c r="A1350" s="579"/>
      <c r="B1350" s="585"/>
      <c r="C1350" s="54"/>
      <c r="D1350" s="54"/>
      <c r="E1350" s="54"/>
      <c r="F1350" s="54"/>
      <c r="G1350" s="560"/>
      <c r="H1350" s="562"/>
      <c r="I1350" s="564"/>
    </row>
    <row r="1351" spans="1:9" ht="12" customHeight="1">
      <c r="A1351" s="580"/>
      <c r="B1351" s="565" t="s">
        <v>33</v>
      </c>
      <c r="C1351" s="566"/>
      <c r="D1351" s="566"/>
      <c r="E1351" s="567"/>
      <c r="F1351" s="299">
        <f>A1334</f>
        <v>160104</v>
      </c>
      <c r="G1351" s="414">
        <f>SUM(G1335:G1350)</f>
        <v>1050</v>
      </c>
      <c r="H1351" s="415">
        <v>0</v>
      </c>
      <c r="I1351" s="302" t="str">
        <f>IF(F1351="","",VLOOKUP(F1351,'ابنیه 95'!$A:$E,3,FALSE))</f>
        <v>کيلوگرم</v>
      </c>
    </row>
    <row r="1352" spans="1:9" ht="12" customHeight="1">
      <c r="A1352" s="586" t="s">
        <v>184</v>
      </c>
      <c r="B1352" s="587"/>
      <c r="C1352" s="587"/>
      <c r="D1352" s="587"/>
      <c r="E1352" s="587"/>
      <c r="F1352" s="587"/>
      <c r="G1352" s="587"/>
      <c r="H1352" s="587"/>
      <c r="I1352" s="588"/>
    </row>
    <row r="1353" spans="1:9" ht="12" customHeight="1">
      <c r="A1353" s="578">
        <v>180302</v>
      </c>
      <c r="B1353" s="581" t="str">
        <f>IF(A1353="","",VLOOKUP(A1353,'ابنیه 95'!$A:$E,2,FALSE))</f>
        <v>شمشه گيري سطوح قايم و سقف‌ها، با ملات ماسه سيمان1:4.</v>
      </c>
      <c r="C1353" s="582"/>
      <c r="D1353" s="582"/>
      <c r="E1353" s="582"/>
      <c r="F1353" s="582"/>
      <c r="G1353" s="582"/>
      <c r="H1353" s="582"/>
      <c r="I1353" s="583"/>
    </row>
    <row r="1354" spans="1:9" ht="6.6" customHeight="1">
      <c r="A1354" s="579"/>
      <c r="B1354" s="584" t="str">
        <f>B1316</f>
        <v>عملیات انجام گرفته در زیرزمین ZONE Z1</v>
      </c>
      <c r="C1354" s="53"/>
      <c r="D1354" s="53"/>
      <c r="E1354" s="54"/>
      <c r="F1354" s="53"/>
      <c r="G1354" s="559">
        <v>99.82</v>
      </c>
      <c r="H1354" s="561">
        <v>0</v>
      </c>
      <c r="I1354" s="563" t="str">
        <f>I1316</f>
        <v>علی الحساب</v>
      </c>
    </row>
    <row r="1355" spans="1:9" ht="6.6" customHeight="1">
      <c r="A1355" s="579"/>
      <c r="B1355" s="585"/>
      <c r="C1355" s="54"/>
      <c r="D1355" s="54"/>
      <c r="E1355" s="54"/>
      <c r="F1355" s="54"/>
      <c r="G1355" s="560"/>
      <c r="H1355" s="562"/>
      <c r="I1355" s="564"/>
    </row>
    <row r="1356" spans="1:9" ht="6.6" customHeight="1">
      <c r="A1356" s="579"/>
      <c r="B1356" s="584" t="str">
        <f t="shared" ref="B1356" si="96">B1318</f>
        <v>عملیات انجام گرفته در زیرزمین ZONE Z2</v>
      </c>
      <c r="C1356" s="53"/>
      <c r="D1356" s="53"/>
      <c r="E1356" s="54"/>
      <c r="F1356" s="53"/>
      <c r="G1356" s="559">
        <v>530.5</v>
      </c>
      <c r="H1356" s="561">
        <v>0</v>
      </c>
      <c r="I1356" s="563" t="str">
        <f t="shared" ref="I1356" si="97">I1318</f>
        <v>علی الحساب</v>
      </c>
    </row>
    <row r="1357" spans="1:9" ht="6.6" customHeight="1">
      <c r="A1357" s="579"/>
      <c r="B1357" s="585"/>
      <c r="C1357" s="54"/>
      <c r="D1357" s="54"/>
      <c r="E1357" s="54"/>
      <c r="F1357" s="54"/>
      <c r="G1357" s="560"/>
      <c r="H1357" s="562"/>
      <c r="I1357" s="564"/>
    </row>
    <row r="1358" spans="1:9" ht="6.6" customHeight="1">
      <c r="A1358" s="579"/>
      <c r="B1358" s="584" t="str">
        <f t="shared" ref="B1358" si="98">B1320</f>
        <v>عملیات انجام گرفته در زیرزمین ZONE Z3</v>
      </c>
      <c r="C1358" s="53"/>
      <c r="D1358" s="53"/>
      <c r="E1358" s="54"/>
      <c r="F1358" s="53"/>
      <c r="G1358" s="559">
        <v>411.39</v>
      </c>
      <c r="H1358" s="561">
        <v>0</v>
      </c>
      <c r="I1358" s="563" t="str">
        <f t="shared" ref="I1358" si="99">I1320</f>
        <v>علی الحساب</v>
      </c>
    </row>
    <row r="1359" spans="1:9" ht="6.6" customHeight="1">
      <c r="A1359" s="579"/>
      <c r="B1359" s="585"/>
      <c r="C1359" s="54"/>
      <c r="D1359" s="54"/>
      <c r="E1359" s="54"/>
      <c r="F1359" s="54"/>
      <c r="G1359" s="560"/>
      <c r="H1359" s="562"/>
      <c r="I1359" s="564"/>
    </row>
    <row r="1360" spans="1:9" ht="6.6" customHeight="1">
      <c r="A1360" s="579"/>
      <c r="B1360" s="584" t="str">
        <f t="shared" ref="B1360" si="100">B1322</f>
        <v>عملیات انجام گرفته در زیرزمین ZONE Z4</v>
      </c>
      <c r="C1360" s="53"/>
      <c r="D1360" s="53"/>
      <c r="E1360" s="54"/>
      <c r="F1360" s="53"/>
      <c r="G1360" s="559">
        <v>712.44</v>
      </c>
      <c r="H1360" s="561">
        <v>0</v>
      </c>
      <c r="I1360" s="563" t="str">
        <f t="shared" ref="I1360" si="101">I1322</f>
        <v>علی الحساب</v>
      </c>
    </row>
    <row r="1361" spans="1:9" ht="6.6" customHeight="1">
      <c r="A1361" s="579"/>
      <c r="B1361" s="585"/>
      <c r="C1361" s="54"/>
      <c r="D1361" s="54"/>
      <c r="E1361" s="54"/>
      <c r="F1361" s="54"/>
      <c r="G1361" s="560"/>
      <c r="H1361" s="562"/>
      <c r="I1361" s="564"/>
    </row>
    <row r="1362" spans="1:9" ht="6.6" customHeight="1">
      <c r="A1362" s="579"/>
      <c r="B1362" s="584" t="str">
        <f t="shared" ref="B1362" si="102">B1324</f>
        <v>عملیات انجام گرفته در زیرزمین ZONE Z5</v>
      </c>
      <c r="C1362" s="53"/>
      <c r="D1362" s="53"/>
      <c r="E1362" s="54"/>
      <c r="F1362" s="53"/>
      <c r="G1362" s="559">
        <v>130.68</v>
      </c>
      <c r="H1362" s="561">
        <v>0</v>
      </c>
      <c r="I1362" s="563" t="str">
        <f t="shared" ref="I1362" si="103">I1324</f>
        <v>علی الحساب</v>
      </c>
    </row>
    <row r="1363" spans="1:9" ht="6.6" customHeight="1">
      <c r="A1363" s="579"/>
      <c r="B1363" s="585"/>
      <c r="C1363" s="54"/>
      <c r="D1363" s="54"/>
      <c r="E1363" s="54"/>
      <c r="F1363" s="54"/>
      <c r="G1363" s="560"/>
      <c r="H1363" s="562"/>
      <c r="I1363" s="564"/>
    </row>
    <row r="1364" spans="1:9" ht="6.6" customHeight="1">
      <c r="A1364" s="579"/>
      <c r="B1364" s="584" t="str">
        <f t="shared" ref="B1364" si="104">B1326</f>
        <v>عملیات انجام گرفته در زیرزمین ZONE Y1</v>
      </c>
      <c r="C1364" s="53"/>
      <c r="D1364" s="53"/>
      <c r="E1364" s="54"/>
      <c r="F1364" s="53"/>
      <c r="G1364" s="559">
        <v>166.01</v>
      </c>
      <c r="H1364" s="561">
        <v>0</v>
      </c>
      <c r="I1364" s="563" t="str">
        <f t="shared" ref="I1364" si="105">I1326</f>
        <v>علی الحساب</v>
      </c>
    </row>
    <row r="1365" spans="1:9" ht="6.6" customHeight="1">
      <c r="A1365" s="579"/>
      <c r="B1365" s="585"/>
      <c r="C1365" s="54"/>
      <c r="D1365" s="54"/>
      <c r="E1365" s="54"/>
      <c r="F1365" s="54"/>
      <c r="G1365" s="560"/>
      <c r="H1365" s="562"/>
      <c r="I1365" s="564"/>
    </row>
    <row r="1366" spans="1:9" ht="6.6" customHeight="1">
      <c r="A1366" s="579"/>
      <c r="B1366" s="584" t="str">
        <f t="shared" ref="B1366" si="106">B1328</f>
        <v>عملیات انجام گرفته در زیرزمین ZONE Y2</v>
      </c>
      <c r="C1366" s="53"/>
      <c r="D1366" s="53"/>
      <c r="E1366" s="54"/>
      <c r="F1366" s="53"/>
      <c r="G1366" s="559">
        <v>271.74</v>
      </c>
      <c r="H1366" s="561">
        <v>0</v>
      </c>
      <c r="I1366" s="563" t="str">
        <f t="shared" ref="I1366" si="107">I1328</f>
        <v>علی الحساب</v>
      </c>
    </row>
    <row r="1367" spans="1:9" ht="6.6" customHeight="1">
      <c r="A1367" s="579"/>
      <c r="B1367" s="585"/>
      <c r="C1367" s="54"/>
      <c r="D1367" s="54"/>
      <c r="E1367" s="54"/>
      <c r="F1367" s="54"/>
      <c r="G1367" s="560"/>
      <c r="H1367" s="562"/>
      <c r="I1367" s="564"/>
    </row>
    <row r="1368" spans="1:9" ht="6.6" customHeight="1">
      <c r="A1368" s="579"/>
      <c r="B1368" s="584" t="str">
        <f t="shared" ref="B1368" si="108">B1330</f>
        <v>عملیات انجام گرفته در زیرزمین ZONE Y3</v>
      </c>
      <c r="C1368" s="53"/>
      <c r="D1368" s="53"/>
      <c r="E1368" s="54"/>
      <c r="F1368" s="53"/>
      <c r="G1368" s="559">
        <v>397.69</v>
      </c>
      <c r="H1368" s="561">
        <v>0</v>
      </c>
      <c r="I1368" s="563" t="str">
        <f t="shared" ref="I1368" si="109">I1330</f>
        <v>علی الحساب</v>
      </c>
    </row>
    <row r="1369" spans="1:9" ht="6.6" customHeight="1">
      <c r="A1369" s="579"/>
      <c r="B1369" s="585"/>
      <c r="C1369" s="54"/>
      <c r="D1369" s="54"/>
      <c r="E1369" s="54"/>
      <c r="F1369" s="54"/>
      <c r="G1369" s="560"/>
      <c r="H1369" s="562"/>
      <c r="I1369" s="564"/>
    </row>
    <row r="1370" spans="1:9" ht="6.6" customHeight="1">
      <c r="A1370" s="579"/>
      <c r="B1370" s="584" t="str">
        <f>B1271</f>
        <v>عملیات انجام گرفته در طبقه همکف ZONE Z1</v>
      </c>
      <c r="C1370" s="53"/>
      <c r="D1370" s="53"/>
      <c r="E1370" s="54"/>
      <c r="F1370" s="53"/>
      <c r="G1370" s="559">
        <v>143</v>
      </c>
      <c r="H1370" s="561">
        <v>0</v>
      </c>
      <c r="I1370" s="589" t="str">
        <f>I1271</f>
        <v>علی الحساب</v>
      </c>
    </row>
    <row r="1371" spans="1:9" ht="6.6" customHeight="1">
      <c r="A1371" s="579"/>
      <c r="B1371" s="585"/>
      <c r="C1371" s="54"/>
      <c r="D1371" s="54"/>
      <c r="E1371" s="54"/>
      <c r="F1371" s="54"/>
      <c r="G1371" s="560"/>
      <c r="H1371" s="562"/>
      <c r="I1371" s="590"/>
    </row>
    <row r="1372" spans="1:9" ht="6.6" customHeight="1">
      <c r="A1372" s="579"/>
      <c r="B1372" s="584" t="str">
        <f t="shared" ref="B1372" si="110">B1273</f>
        <v>عملیات انجام گرفته در طبقه همکف ZONE Z2</v>
      </c>
      <c r="C1372" s="53"/>
      <c r="D1372" s="53"/>
      <c r="E1372" s="54"/>
      <c r="F1372" s="53"/>
      <c r="G1372" s="559">
        <v>759.99</v>
      </c>
      <c r="H1372" s="561">
        <v>0</v>
      </c>
      <c r="I1372" s="589" t="str">
        <f t="shared" ref="I1372" si="111">I1273</f>
        <v>علی الحساب</v>
      </c>
    </row>
    <row r="1373" spans="1:9" ht="6.6" customHeight="1">
      <c r="A1373" s="579"/>
      <c r="B1373" s="585"/>
      <c r="C1373" s="54"/>
      <c r="D1373" s="54"/>
      <c r="E1373" s="54"/>
      <c r="F1373" s="54"/>
      <c r="G1373" s="560"/>
      <c r="H1373" s="562"/>
      <c r="I1373" s="590"/>
    </row>
    <row r="1374" spans="1:9" ht="6.6" customHeight="1">
      <c r="A1374" s="579"/>
      <c r="B1374" s="584" t="str">
        <f t="shared" ref="B1374" si="112">B1275</f>
        <v>عملیات انجام گرفته در طبقه همکف ZONE Z3</v>
      </c>
      <c r="C1374" s="53"/>
      <c r="D1374" s="53"/>
      <c r="E1374" s="54"/>
      <c r="F1374" s="53"/>
      <c r="G1374" s="559">
        <v>589.37</v>
      </c>
      <c r="H1374" s="561">
        <v>0</v>
      </c>
      <c r="I1374" s="589" t="str">
        <f t="shared" ref="I1374" si="113">I1275</f>
        <v>علی الحساب</v>
      </c>
    </row>
    <row r="1375" spans="1:9" ht="6.6" customHeight="1">
      <c r="A1375" s="579"/>
      <c r="B1375" s="585"/>
      <c r="C1375" s="54"/>
      <c r="D1375" s="54"/>
      <c r="E1375" s="54"/>
      <c r="F1375" s="54"/>
      <c r="G1375" s="560"/>
      <c r="H1375" s="562"/>
      <c r="I1375" s="590"/>
    </row>
    <row r="1376" spans="1:9" ht="6.6" customHeight="1">
      <c r="A1376" s="579"/>
      <c r="B1376" s="584" t="str">
        <f>B1277</f>
        <v>عملیات انجام گرفته در طبقه همکف ZONE Z4</v>
      </c>
      <c r="C1376" s="53"/>
      <c r="D1376" s="53"/>
      <c r="E1376" s="54"/>
      <c r="F1376" s="53"/>
      <c r="G1376" s="559">
        <v>1020.65</v>
      </c>
      <c r="H1376" s="561">
        <v>0</v>
      </c>
      <c r="I1376" s="589" t="str">
        <f>I1277</f>
        <v>مترمکعب</v>
      </c>
    </row>
    <row r="1377" spans="1:9" ht="6.6" customHeight="1">
      <c r="A1377" s="579"/>
      <c r="B1377" s="585"/>
      <c r="C1377" s="54"/>
      <c r="D1377" s="54"/>
      <c r="E1377" s="54"/>
      <c r="F1377" s="54"/>
      <c r="G1377" s="560"/>
      <c r="H1377" s="562"/>
      <c r="I1377" s="590"/>
    </row>
    <row r="1378" spans="1:9" ht="6.6" customHeight="1">
      <c r="A1378" s="579"/>
      <c r="B1378" s="584" t="str">
        <f t="shared" ref="B1378" si="114">B1279</f>
        <v>عملیات انجام گرفته در طبقه همکف ZONE Z5</v>
      </c>
      <c r="C1378" s="53"/>
      <c r="D1378" s="53"/>
      <c r="E1378" s="54"/>
      <c r="F1378" s="53"/>
      <c r="G1378" s="559">
        <v>187.21</v>
      </c>
      <c r="H1378" s="561">
        <v>0</v>
      </c>
      <c r="I1378" s="589" t="str">
        <f t="shared" ref="I1378" si="115">I1279</f>
        <v>صورتجلسه شماره: 3</v>
      </c>
    </row>
    <row r="1379" spans="1:9" ht="6.6" customHeight="1">
      <c r="A1379" s="579"/>
      <c r="B1379" s="585"/>
      <c r="C1379" s="54"/>
      <c r="D1379" s="54"/>
      <c r="E1379" s="54"/>
      <c r="F1379" s="54"/>
      <c r="G1379" s="560"/>
      <c r="H1379" s="562"/>
      <c r="I1379" s="590"/>
    </row>
    <row r="1380" spans="1:9" ht="6.6" customHeight="1">
      <c r="A1380" s="579"/>
      <c r="B1380" s="584" t="str">
        <f t="shared" ref="B1380" si="116">B1281</f>
        <v>عملیات انجام گرفته در پشت بام ZONE Z1</v>
      </c>
      <c r="C1380" s="408">
        <v>53.05</v>
      </c>
      <c r="D1380" s="53"/>
      <c r="E1380" s="54"/>
      <c r="F1380" s="408">
        <v>1.3</v>
      </c>
      <c r="G1380" s="559">
        <f>F1380*C1380</f>
        <v>68.965000000000003</v>
      </c>
      <c r="H1380" s="561">
        <v>0</v>
      </c>
      <c r="I1380" s="589" t="str">
        <f t="shared" ref="I1380" si="117">I1281</f>
        <v>علی الحساب</v>
      </c>
    </row>
    <row r="1381" spans="1:9" ht="6.6" customHeight="1">
      <c r="A1381" s="579"/>
      <c r="B1381" s="585"/>
      <c r="C1381" s="409"/>
      <c r="D1381" s="54"/>
      <c r="E1381" s="54"/>
      <c r="F1381" s="409"/>
      <c r="G1381" s="560"/>
      <c r="H1381" s="562"/>
      <c r="I1381" s="590"/>
    </row>
    <row r="1382" spans="1:9" ht="6.6" customHeight="1">
      <c r="A1382" s="579"/>
      <c r="B1382" s="584" t="str">
        <f t="shared" ref="B1382" si="118">B1283</f>
        <v>عملیات انجام گرفته در پشت بام ZONE Z2</v>
      </c>
      <c r="C1382" s="408">
        <v>281.94</v>
      </c>
      <c r="D1382" s="53"/>
      <c r="E1382" s="54"/>
      <c r="F1382" s="408">
        <v>1.3</v>
      </c>
      <c r="G1382" s="559">
        <f t="shared" ref="G1382" si="119">F1382*C1382</f>
        <v>366.52199999999999</v>
      </c>
      <c r="H1382" s="561">
        <v>0</v>
      </c>
      <c r="I1382" s="589" t="str">
        <f t="shared" ref="I1382" si="120">I1283</f>
        <v>علی الحساب</v>
      </c>
    </row>
    <row r="1383" spans="1:9" ht="6.6" customHeight="1">
      <c r="A1383" s="579"/>
      <c r="B1383" s="585"/>
      <c r="C1383" s="409"/>
      <c r="D1383" s="54"/>
      <c r="E1383" s="54"/>
      <c r="F1383" s="409"/>
      <c r="G1383" s="560"/>
      <c r="H1383" s="562"/>
      <c r="I1383" s="590"/>
    </row>
    <row r="1384" spans="1:9" ht="6.6" customHeight="1">
      <c r="A1384" s="579"/>
      <c r="B1384" s="584" t="str">
        <f t="shared" ref="B1384" si="121">B1285</f>
        <v>عملیات انجام گرفته در پشت بام ZONE Z3</v>
      </c>
      <c r="C1384" s="408">
        <v>218.64</v>
      </c>
      <c r="D1384" s="53"/>
      <c r="E1384" s="54"/>
      <c r="F1384" s="408">
        <v>1.3</v>
      </c>
      <c r="G1384" s="559">
        <f t="shared" ref="G1384" si="122">F1384*C1384</f>
        <v>284.23199999999997</v>
      </c>
      <c r="H1384" s="561">
        <v>0</v>
      </c>
      <c r="I1384" s="589" t="str">
        <f t="shared" ref="I1384" si="123">I1285</f>
        <v>علی الحساب</v>
      </c>
    </row>
    <row r="1385" spans="1:9" ht="6.6" customHeight="1">
      <c r="A1385" s="579"/>
      <c r="B1385" s="585"/>
      <c r="C1385" s="54"/>
      <c r="D1385" s="54"/>
      <c r="E1385" s="54"/>
      <c r="F1385" s="54"/>
      <c r="G1385" s="560"/>
      <c r="H1385" s="562"/>
      <c r="I1385" s="590"/>
    </row>
    <row r="1386" spans="1:9" ht="6.6" customHeight="1">
      <c r="A1386" s="579"/>
      <c r="B1386" s="584" t="str">
        <f t="shared" ref="B1386" si="124">B1287</f>
        <v>عملیات انجام گرفته در پشت بام ZONE Z4</v>
      </c>
      <c r="C1386" s="408">
        <v>378.64</v>
      </c>
      <c r="D1386" s="53"/>
      <c r="E1386" s="54"/>
      <c r="F1386" s="408">
        <v>1.3</v>
      </c>
      <c r="G1386" s="559">
        <f t="shared" ref="G1386" si="125">F1386*C1386</f>
        <v>492.23199999999997</v>
      </c>
      <c r="H1386" s="561">
        <v>0</v>
      </c>
      <c r="I1386" s="589" t="str">
        <f t="shared" ref="I1386" si="126">I1287</f>
        <v>علی الحساب</v>
      </c>
    </row>
    <row r="1387" spans="1:9" ht="6.6" customHeight="1">
      <c r="A1387" s="579"/>
      <c r="B1387" s="585"/>
      <c r="C1387" s="409"/>
      <c r="D1387" s="54"/>
      <c r="E1387" s="54"/>
      <c r="F1387" s="409"/>
      <c r="G1387" s="560"/>
      <c r="H1387" s="562"/>
      <c r="I1387" s="590"/>
    </row>
    <row r="1388" spans="1:9" ht="6.6" customHeight="1">
      <c r="A1388" s="579"/>
      <c r="B1388" s="584" t="str">
        <f t="shared" ref="B1388" si="127">B1289</f>
        <v>عملیات انجام گرفته در پشت بام ZONE Z5</v>
      </c>
      <c r="C1388" s="408">
        <v>69.45</v>
      </c>
      <c r="D1388" s="53"/>
      <c r="E1388" s="54"/>
      <c r="F1388" s="408">
        <v>1.3</v>
      </c>
      <c r="G1388" s="559">
        <f t="shared" ref="G1388" si="128">F1388*C1388</f>
        <v>90.285000000000011</v>
      </c>
      <c r="H1388" s="561">
        <v>0</v>
      </c>
      <c r="I1388" s="589" t="str">
        <f t="shared" ref="I1388" si="129">I1289</f>
        <v>علی الحساب</v>
      </c>
    </row>
    <row r="1389" spans="1:9" ht="6.6" customHeight="1">
      <c r="A1389" s="579"/>
      <c r="B1389" s="585"/>
      <c r="C1389" s="54"/>
      <c r="D1389" s="54"/>
      <c r="E1389" s="54"/>
      <c r="F1389" s="54"/>
      <c r="G1389" s="560"/>
      <c r="H1389" s="562"/>
      <c r="I1389" s="590"/>
    </row>
    <row r="1390" spans="1:9" ht="12" customHeight="1">
      <c r="A1390" s="580"/>
      <c r="B1390" s="565" t="s">
        <v>33</v>
      </c>
      <c r="C1390" s="566"/>
      <c r="D1390" s="566"/>
      <c r="E1390" s="567"/>
      <c r="F1390" s="299">
        <f>A1353</f>
        <v>180302</v>
      </c>
      <c r="G1390" s="300">
        <f>SUM(G1354:G1389)</f>
        <v>6722.7259999999997</v>
      </c>
      <c r="H1390" s="301">
        <v>0</v>
      </c>
      <c r="I1390" s="302" t="str">
        <f>IF(F1390="","",VLOOKUP(F1390,'ابنیه 95'!$A:$E,3,FALSE))</f>
        <v>مترمربع</v>
      </c>
    </row>
    <row r="1391" spans="1:9" ht="9.6" customHeight="1">
      <c r="A1391" s="578">
        <v>180305</v>
      </c>
      <c r="B1391" s="581" t="str">
        <f>IF(A1391="","",VLOOKUP(A1391,'ابنیه 95'!$A:$E,2,FALSE))</f>
        <v>اندود سيماني به ضخامت حدود 3 سانتي‌متر، روي سطوح قايم، با ملات ماسه سيمان 1:4.</v>
      </c>
      <c r="C1391" s="582"/>
      <c r="D1391" s="582"/>
      <c r="E1391" s="582"/>
      <c r="F1391" s="582"/>
      <c r="G1391" s="582"/>
      <c r="H1391" s="582"/>
      <c r="I1391" s="583"/>
    </row>
    <row r="1392" spans="1:9" ht="6" customHeight="1">
      <c r="A1392" s="579"/>
      <c r="B1392" s="584" t="str">
        <f>B1354</f>
        <v>عملیات انجام گرفته در زیرزمین ZONE Z1</v>
      </c>
      <c r="C1392" s="53"/>
      <c r="D1392" s="53"/>
      <c r="E1392" s="54"/>
      <c r="F1392" s="53"/>
      <c r="G1392" s="559">
        <f>G1354</f>
        <v>99.82</v>
      </c>
      <c r="H1392" s="561">
        <v>0</v>
      </c>
      <c r="I1392" s="563" t="str">
        <f>I1354</f>
        <v>علی الحساب</v>
      </c>
    </row>
    <row r="1393" spans="1:9" ht="6" customHeight="1">
      <c r="A1393" s="579"/>
      <c r="B1393" s="585"/>
      <c r="C1393" s="54"/>
      <c r="D1393" s="54"/>
      <c r="E1393" s="54"/>
      <c r="F1393" s="54"/>
      <c r="G1393" s="560"/>
      <c r="H1393" s="562"/>
      <c r="I1393" s="564"/>
    </row>
    <row r="1394" spans="1:9" ht="6" customHeight="1">
      <c r="A1394" s="579"/>
      <c r="B1394" s="584" t="str">
        <f>B1356</f>
        <v>عملیات انجام گرفته در زیرزمین ZONE Z2</v>
      </c>
      <c r="C1394" s="53"/>
      <c r="D1394" s="53"/>
      <c r="E1394" s="54"/>
      <c r="F1394" s="53"/>
      <c r="G1394" s="559">
        <f t="shared" ref="G1394" si="130">G1356</f>
        <v>530.5</v>
      </c>
      <c r="H1394" s="561">
        <v>0</v>
      </c>
      <c r="I1394" s="563" t="str">
        <f>I1356</f>
        <v>علی الحساب</v>
      </c>
    </row>
    <row r="1395" spans="1:9" ht="6" customHeight="1">
      <c r="A1395" s="579"/>
      <c r="B1395" s="585"/>
      <c r="C1395" s="54"/>
      <c r="D1395" s="54"/>
      <c r="E1395" s="54"/>
      <c r="F1395" s="54"/>
      <c r="G1395" s="560"/>
      <c r="H1395" s="562"/>
      <c r="I1395" s="564"/>
    </row>
    <row r="1396" spans="1:9" ht="6" customHeight="1">
      <c r="A1396" s="579"/>
      <c r="B1396" s="584" t="str">
        <f>B1358</f>
        <v>عملیات انجام گرفته در زیرزمین ZONE Z3</v>
      </c>
      <c r="C1396" s="53"/>
      <c r="D1396" s="53"/>
      <c r="E1396" s="54"/>
      <c r="F1396" s="53"/>
      <c r="G1396" s="559">
        <f t="shared" ref="G1396" si="131">G1358</f>
        <v>411.39</v>
      </c>
      <c r="H1396" s="561">
        <v>0</v>
      </c>
      <c r="I1396" s="563" t="str">
        <f>I1358</f>
        <v>علی الحساب</v>
      </c>
    </row>
    <row r="1397" spans="1:9" ht="6" customHeight="1">
      <c r="A1397" s="579"/>
      <c r="B1397" s="585"/>
      <c r="C1397" s="54"/>
      <c r="D1397" s="54"/>
      <c r="E1397" s="54"/>
      <c r="F1397" s="54"/>
      <c r="G1397" s="560"/>
      <c r="H1397" s="562"/>
      <c r="I1397" s="564"/>
    </row>
    <row r="1398" spans="1:9" ht="6" customHeight="1">
      <c r="A1398" s="579"/>
      <c r="B1398" s="584" t="str">
        <f>B1360</f>
        <v>عملیات انجام گرفته در زیرزمین ZONE Z4</v>
      </c>
      <c r="C1398" s="53"/>
      <c r="D1398" s="53"/>
      <c r="E1398" s="54"/>
      <c r="F1398" s="53"/>
      <c r="G1398" s="559">
        <f t="shared" ref="G1398" si="132">G1360</f>
        <v>712.44</v>
      </c>
      <c r="H1398" s="561">
        <v>0</v>
      </c>
      <c r="I1398" s="563" t="str">
        <f>I1360</f>
        <v>علی الحساب</v>
      </c>
    </row>
    <row r="1399" spans="1:9" ht="6" customHeight="1">
      <c r="A1399" s="579"/>
      <c r="B1399" s="585"/>
      <c r="C1399" s="54"/>
      <c r="D1399" s="54"/>
      <c r="E1399" s="54"/>
      <c r="F1399" s="54"/>
      <c r="G1399" s="560"/>
      <c r="H1399" s="562"/>
      <c r="I1399" s="564"/>
    </row>
    <row r="1400" spans="1:9" ht="6" customHeight="1">
      <c r="A1400" s="579"/>
      <c r="B1400" s="584" t="str">
        <f>B1362</f>
        <v>عملیات انجام گرفته در زیرزمین ZONE Z5</v>
      </c>
      <c r="C1400" s="53"/>
      <c r="D1400" s="53"/>
      <c r="E1400" s="54"/>
      <c r="F1400" s="53"/>
      <c r="G1400" s="559">
        <f t="shared" ref="G1400" si="133">G1362</f>
        <v>130.68</v>
      </c>
      <c r="H1400" s="561">
        <v>0</v>
      </c>
      <c r="I1400" s="563" t="str">
        <f>I1362</f>
        <v>علی الحساب</v>
      </c>
    </row>
    <row r="1401" spans="1:9" ht="6" customHeight="1">
      <c r="A1401" s="579"/>
      <c r="B1401" s="585"/>
      <c r="C1401" s="54"/>
      <c r="D1401" s="54"/>
      <c r="E1401" s="54"/>
      <c r="F1401" s="54"/>
      <c r="G1401" s="560"/>
      <c r="H1401" s="562"/>
      <c r="I1401" s="564"/>
    </row>
    <row r="1402" spans="1:9" ht="6" customHeight="1">
      <c r="A1402" s="579"/>
      <c r="B1402" s="584" t="str">
        <f>B1364</f>
        <v>عملیات انجام گرفته در زیرزمین ZONE Y1</v>
      </c>
      <c r="C1402" s="53"/>
      <c r="D1402" s="53"/>
      <c r="E1402" s="54"/>
      <c r="F1402" s="53"/>
      <c r="G1402" s="559">
        <f t="shared" ref="G1402" si="134">G1364</f>
        <v>166.01</v>
      </c>
      <c r="H1402" s="561">
        <v>0</v>
      </c>
      <c r="I1402" s="563" t="str">
        <f>I1364</f>
        <v>علی الحساب</v>
      </c>
    </row>
    <row r="1403" spans="1:9" ht="6" customHeight="1">
      <c r="A1403" s="579"/>
      <c r="B1403" s="585"/>
      <c r="C1403" s="54"/>
      <c r="D1403" s="54"/>
      <c r="E1403" s="54"/>
      <c r="F1403" s="54"/>
      <c r="G1403" s="560"/>
      <c r="H1403" s="562"/>
      <c r="I1403" s="564"/>
    </row>
    <row r="1404" spans="1:9" ht="6" customHeight="1">
      <c r="A1404" s="579"/>
      <c r="B1404" s="584" t="str">
        <f>B1366</f>
        <v>عملیات انجام گرفته در زیرزمین ZONE Y2</v>
      </c>
      <c r="C1404" s="53"/>
      <c r="D1404" s="53"/>
      <c r="E1404" s="54"/>
      <c r="F1404" s="53"/>
      <c r="G1404" s="559">
        <f t="shared" ref="G1404" si="135">G1366</f>
        <v>271.74</v>
      </c>
      <c r="H1404" s="561">
        <v>0</v>
      </c>
      <c r="I1404" s="563" t="str">
        <f>I1366</f>
        <v>علی الحساب</v>
      </c>
    </row>
    <row r="1405" spans="1:9" ht="6" customHeight="1">
      <c r="A1405" s="579"/>
      <c r="B1405" s="585"/>
      <c r="C1405" s="54"/>
      <c r="D1405" s="54"/>
      <c r="E1405" s="54"/>
      <c r="F1405" s="54"/>
      <c r="G1405" s="560"/>
      <c r="H1405" s="562"/>
      <c r="I1405" s="564"/>
    </row>
    <row r="1406" spans="1:9" ht="6" customHeight="1">
      <c r="A1406" s="579"/>
      <c r="B1406" s="584" t="str">
        <f>B1368</f>
        <v>عملیات انجام گرفته در زیرزمین ZONE Y3</v>
      </c>
      <c r="C1406" s="53"/>
      <c r="D1406" s="53"/>
      <c r="E1406" s="54"/>
      <c r="F1406" s="53"/>
      <c r="G1406" s="559">
        <f t="shared" ref="G1406" si="136">G1368</f>
        <v>397.69</v>
      </c>
      <c r="H1406" s="561">
        <v>0</v>
      </c>
      <c r="I1406" s="563" t="str">
        <f>I1368</f>
        <v>علی الحساب</v>
      </c>
    </row>
    <row r="1407" spans="1:9" ht="6" customHeight="1">
      <c r="A1407" s="579"/>
      <c r="B1407" s="585"/>
      <c r="C1407" s="54"/>
      <c r="D1407" s="54"/>
      <c r="E1407" s="54"/>
      <c r="F1407" s="54"/>
      <c r="G1407" s="560"/>
      <c r="H1407" s="562"/>
      <c r="I1407" s="564"/>
    </row>
    <row r="1408" spans="1:9" ht="6" customHeight="1">
      <c r="A1408" s="579"/>
      <c r="B1408" s="584" t="str">
        <f>B1370</f>
        <v>عملیات انجام گرفته در طبقه همکف ZONE Z1</v>
      </c>
      <c r="C1408" s="53"/>
      <c r="D1408" s="53"/>
      <c r="E1408" s="54"/>
      <c r="F1408" s="53"/>
      <c r="G1408" s="559">
        <f t="shared" ref="G1408" si="137">G1370</f>
        <v>143</v>
      </c>
      <c r="H1408" s="561">
        <v>0</v>
      </c>
      <c r="I1408" s="563" t="str">
        <f>I1370</f>
        <v>علی الحساب</v>
      </c>
    </row>
    <row r="1409" spans="1:9" ht="6" customHeight="1">
      <c r="A1409" s="579"/>
      <c r="B1409" s="585"/>
      <c r="C1409" s="54"/>
      <c r="D1409" s="54"/>
      <c r="E1409" s="54"/>
      <c r="F1409" s="54"/>
      <c r="G1409" s="560"/>
      <c r="H1409" s="562"/>
      <c r="I1409" s="564"/>
    </row>
    <row r="1410" spans="1:9" ht="6" customHeight="1">
      <c r="A1410" s="579"/>
      <c r="B1410" s="584" t="str">
        <f>B1372</f>
        <v>عملیات انجام گرفته در طبقه همکف ZONE Z2</v>
      </c>
      <c r="C1410" s="53"/>
      <c r="D1410" s="53"/>
      <c r="E1410" s="54"/>
      <c r="F1410" s="53"/>
      <c r="G1410" s="559">
        <f t="shared" ref="G1410" si="138">G1372</f>
        <v>759.99</v>
      </c>
      <c r="H1410" s="561">
        <v>0</v>
      </c>
      <c r="I1410" s="563" t="str">
        <f>I1372</f>
        <v>علی الحساب</v>
      </c>
    </row>
    <row r="1411" spans="1:9" ht="6" customHeight="1">
      <c r="A1411" s="579"/>
      <c r="B1411" s="585"/>
      <c r="C1411" s="54"/>
      <c r="D1411" s="54"/>
      <c r="E1411" s="54"/>
      <c r="F1411" s="54"/>
      <c r="G1411" s="560"/>
      <c r="H1411" s="562"/>
      <c r="I1411" s="564"/>
    </row>
    <row r="1412" spans="1:9" ht="6" customHeight="1">
      <c r="A1412" s="579"/>
      <c r="B1412" s="584" t="str">
        <f>B1374</f>
        <v>عملیات انجام گرفته در طبقه همکف ZONE Z3</v>
      </c>
      <c r="C1412" s="53"/>
      <c r="D1412" s="53"/>
      <c r="E1412" s="54"/>
      <c r="F1412" s="53"/>
      <c r="G1412" s="559">
        <f t="shared" ref="G1412" si="139">G1374</f>
        <v>589.37</v>
      </c>
      <c r="H1412" s="561">
        <v>0</v>
      </c>
      <c r="I1412" s="563" t="str">
        <f>I1374</f>
        <v>علی الحساب</v>
      </c>
    </row>
    <row r="1413" spans="1:9" ht="6" customHeight="1">
      <c r="A1413" s="579"/>
      <c r="B1413" s="585"/>
      <c r="C1413" s="54"/>
      <c r="D1413" s="54"/>
      <c r="E1413" s="54"/>
      <c r="F1413" s="54"/>
      <c r="G1413" s="560"/>
      <c r="H1413" s="562"/>
      <c r="I1413" s="564"/>
    </row>
    <row r="1414" spans="1:9" ht="6" customHeight="1">
      <c r="A1414" s="579"/>
      <c r="B1414" s="584" t="str">
        <f>B1376</f>
        <v>عملیات انجام گرفته در طبقه همکف ZONE Z4</v>
      </c>
      <c r="C1414" s="53"/>
      <c r="D1414" s="53"/>
      <c r="E1414" s="54"/>
      <c r="F1414" s="53"/>
      <c r="G1414" s="559">
        <f t="shared" ref="G1414" si="140">G1376</f>
        <v>1020.65</v>
      </c>
      <c r="H1414" s="561">
        <v>0</v>
      </c>
      <c r="I1414" s="563" t="str">
        <f>I1376</f>
        <v>مترمکعب</v>
      </c>
    </row>
    <row r="1415" spans="1:9" ht="6" customHeight="1">
      <c r="A1415" s="579"/>
      <c r="B1415" s="585"/>
      <c r="C1415" s="54"/>
      <c r="D1415" s="54"/>
      <c r="E1415" s="54"/>
      <c r="F1415" s="54"/>
      <c r="G1415" s="560"/>
      <c r="H1415" s="562"/>
      <c r="I1415" s="564"/>
    </row>
    <row r="1416" spans="1:9" ht="6" customHeight="1">
      <c r="A1416" s="579"/>
      <c r="B1416" s="584" t="str">
        <f>B1378</f>
        <v>عملیات انجام گرفته در طبقه همکف ZONE Z5</v>
      </c>
      <c r="C1416" s="53"/>
      <c r="D1416" s="53"/>
      <c r="E1416" s="54"/>
      <c r="F1416" s="53"/>
      <c r="G1416" s="559">
        <f t="shared" ref="G1416" si="141">G1378</f>
        <v>187.21</v>
      </c>
      <c r="H1416" s="561">
        <v>0</v>
      </c>
      <c r="I1416" s="563" t="str">
        <f>I1378</f>
        <v>صورتجلسه شماره: 3</v>
      </c>
    </row>
    <row r="1417" spans="1:9" ht="6" customHeight="1">
      <c r="A1417" s="579"/>
      <c r="B1417" s="585"/>
      <c r="C1417" s="54"/>
      <c r="D1417" s="54"/>
      <c r="E1417" s="54"/>
      <c r="F1417" s="54"/>
      <c r="G1417" s="560"/>
      <c r="H1417" s="562"/>
      <c r="I1417" s="564"/>
    </row>
    <row r="1418" spans="1:9" ht="6" customHeight="1">
      <c r="A1418" s="579"/>
      <c r="B1418" s="584" t="str">
        <f>B1380</f>
        <v>عملیات انجام گرفته در پشت بام ZONE Z1</v>
      </c>
      <c r="C1418" s="53"/>
      <c r="D1418" s="53"/>
      <c r="E1418" s="54"/>
      <c r="F1418" s="53"/>
      <c r="G1418" s="559">
        <f t="shared" ref="G1418" si="142">G1380</f>
        <v>68.965000000000003</v>
      </c>
      <c r="H1418" s="561">
        <v>0</v>
      </c>
      <c r="I1418" s="563" t="str">
        <f>I1380</f>
        <v>علی الحساب</v>
      </c>
    </row>
    <row r="1419" spans="1:9" ht="6" customHeight="1">
      <c r="A1419" s="579"/>
      <c r="B1419" s="585"/>
      <c r="C1419" s="54"/>
      <c r="D1419" s="54"/>
      <c r="E1419" s="54"/>
      <c r="F1419" s="54"/>
      <c r="G1419" s="560"/>
      <c r="H1419" s="562"/>
      <c r="I1419" s="564"/>
    </row>
    <row r="1420" spans="1:9" ht="6" customHeight="1">
      <c r="A1420" s="579"/>
      <c r="B1420" s="584" t="str">
        <f>B1382</f>
        <v>عملیات انجام گرفته در پشت بام ZONE Z2</v>
      </c>
      <c r="C1420" s="53"/>
      <c r="D1420" s="53"/>
      <c r="E1420" s="54"/>
      <c r="F1420" s="53"/>
      <c r="G1420" s="559">
        <f t="shared" ref="G1420" si="143">G1382</f>
        <v>366.52199999999999</v>
      </c>
      <c r="H1420" s="561">
        <v>0</v>
      </c>
      <c r="I1420" s="563" t="str">
        <f>I1382</f>
        <v>علی الحساب</v>
      </c>
    </row>
    <row r="1421" spans="1:9" ht="6" customHeight="1">
      <c r="A1421" s="579"/>
      <c r="B1421" s="585"/>
      <c r="C1421" s="54"/>
      <c r="D1421" s="54"/>
      <c r="E1421" s="54"/>
      <c r="F1421" s="54"/>
      <c r="G1421" s="560"/>
      <c r="H1421" s="562"/>
      <c r="I1421" s="564"/>
    </row>
    <row r="1422" spans="1:9" ht="6" customHeight="1">
      <c r="A1422" s="579"/>
      <c r="B1422" s="584" t="str">
        <f>B1384</f>
        <v>عملیات انجام گرفته در پشت بام ZONE Z3</v>
      </c>
      <c r="C1422" s="53"/>
      <c r="D1422" s="53"/>
      <c r="E1422" s="54"/>
      <c r="F1422" s="53"/>
      <c r="G1422" s="559">
        <f t="shared" ref="G1422" si="144">G1384</f>
        <v>284.23199999999997</v>
      </c>
      <c r="H1422" s="561">
        <v>0</v>
      </c>
      <c r="I1422" s="563" t="str">
        <f>I1384</f>
        <v>علی الحساب</v>
      </c>
    </row>
    <row r="1423" spans="1:9" ht="6" customHeight="1">
      <c r="A1423" s="579"/>
      <c r="B1423" s="585"/>
      <c r="C1423" s="54"/>
      <c r="D1423" s="54"/>
      <c r="E1423" s="54"/>
      <c r="F1423" s="54"/>
      <c r="G1423" s="560"/>
      <c r="H1423" s="562"/>
      <c r="I1423" s="564"/>
    </row>
    <row r="1424" spans="1:9" ht="6" customHeight="1">
      <c r="A1424" s="579"/>
      <c r="B1424" s="584" t="str">
        <f>B1386</f>
        <v>عملیات انجام گرفته در پشت بام ZONE Z4</v>
      </c>
      <c r="C1424" s="53"/>
      <c r="D1424" s="53"/>
      <c r="E1424" s="54"/>
      <c r="F1424" s="53"/>
      <c r="G1424" s="559">
        <f t="shared" ref="G1424" si="145">G1386</f>
        <v>492.23199999999997</v>
      </c>
      <c r="H1424" s="561">
        <v>0</v>
      </c>
      <c r="I1424" s="563" t="str">
        <f>I1386</f>
        <v>علی الحساب</v>
      </c>
    </row>
    <row r="1425" spans="1:9" ht="6" customHeight="1">
      <c r="A1425" s="579"/>
      <c r="B1425" s="585"/>
      <c r="C1425" s="54"/>
      <c r="D1425" s="54"/>
      <c r="E1425" s="54"/>
      <c r="F1425" s="54"/>
      <c r="G1425" s="560"/>
      <c r="H1425" s="562"/>
      <c r="I1425" s="564"/>
    </row>
    <row r="1426" spans="1:9" ht="6" customHeight="1">
      <c r="A1426" s="579"/>
      <c r="B1426" s="584" t="str">
        <f>B1388</f>
        <v>عملیات انجام گرفته در پشت بام ZONE Z5</v>
      </c>
      <c r="C1426" s="53"/>
      <c r="D1426" s="53"/>
      <c r="E1426" s="54"/>
      <c r="F1426" s="53"/>
      <c r="G1426" s="559">
        <f t="shared" ref="G1426" si="146">G1388</f>
        <v>90.285000000000011</v>
      </c>
      <c r="H1426" s="561">
        <v>0</v>
      </c>
      <c r="I1426" s="563" t="str">
        <f>I1388</f>
        <v>علی الحساب</v>
      </c>
    </row>
    <row r="1427" spans="1:9" ht="6" customHeight="1">
      <c r="A1427" s="579"/>
      <c r="B1427" s="585"/>
      <c r="C1427" s="54"/>
      <c r="D1427" s="54"/>
      <c r="E1427" s="54"/>
      <c r="F1427" s="54"/>
      <c r="G1427" s="560"/>
      <c r="H1427" s="562"/>
      <c r="I1427" s="564"/>
    </row>
    <row r="1428" spans="1:9" ht="9.6" customHeight="1">
      <c r="A1428" s="580"/>
      <c r="B1428" s="565" t="s">
        <v>33</v>
      </c>
      <c r="C1428" s="566"/>
      <c r="D1428" s="566"/>
      <c r="E1428" s="567"/>
      <c r="F1428" s="299">
        <f>A1391</f>
        <v>180305</v>
      </c>
      <c r="G1428" s="300">
        <f>SUM(G1392:G1423)</f>
        <v>6140.2089999999998</v>
      </c>
      <c r="H1428" s="301">
        <v>0</v>
      </c>
      <c r="I1428" s="302" t="str">
        <f>IF(F1428="","",VLOOKUP(F1428,'ابنیه 95'!$A:$E,3,FALSE))</f>
        <v>مترمربع</v>
      </c>
    </row>
    <row r="1429" spans="1:9" ht="9.6" customHeight="1">
      <c r="A1429" s="578">
        <v>180308</v>
      </c>
      <c r="B1429" s="581" t="str">
        <f>IF(A1429="","",VLOOKUP(A1429,'ابنیه 95'!$A:$E,2,FALSE))</f>
        <v>اندود سيماني با ملات ماسه سيمان 1:4 به ضخامت حدود 2 سانتي‌متر، روي سطوح افقي.</v>
      </c>
      <c r="C1429" s="582"/>
      <c r="D1429" s="582"/>
      <c r="E1429" s="582"/>
      <c r="F1429" s="582"/>
      <c r="G1429" s="582"/>
      <c r="H1429" s="582"/>
      <c r="I1429" s="583"/>
    </row>
    <row r="1430" spans="1:9" ht="6" customHeight="1">
      <c r="A1430" s="579"/>
      <c r="B1430" s="584" t="str">
        <f>B1392</f>
        <v>عملیات انجام گرفته در زیرزمین ZONE Z1</v>
      </c>
      <c r="C1430" s="53"/>
      <c r="D1430" s="53"/>
      <c r="E1430" s="54"/>
      <c r="F1430" s="53"/>
      <c r="G1430" s="559">
        <v>5.16</v>
      </c>
      <c r="H1430" s="561">
        <v>0</v>
      </c>
      <c r="I1430" s="563" t="str">
        <f>I1392</f>
        <v>علی الحساب</v>
      </c>
    </row>
    <row r="1431" spans="1:9" ht="6" customHeight="1">
      <c r="A1431" s="579"/>
      <c r="B1431" s="585"/>
      <c r="C1431" s="54"/>
      <c r="D1431" s="54"/>
      <c r="E1431" s="54"/>
      <c r="F1431" s="54"/>
      <c r="G1431" s="560"/>
      <c r="H1431" s="562"/>
      <c r="I1431" s="564"/>
    </row>
    <row r="1432" spans="1:9" ht="6" customHeight="1">
      <c r="A1432" s="579"/>
      <c r="B1432" s="584" t="str">
        <f t="shared" ref="B1432" si="147">B1394</f>
        <v>عملیات انجام گرفته در زیرزمین ZONE Z2</v>
      </c>
      <c r="C1432" s="53"/>
      <c r="D1432" s="53"/>
      <c r="E1432" s="54"/>
      <c r="F1432" s="53"/>
      <c r="G1432" s="559">
        <v>27.44</v>
      </c>
      <c r="H1432" s="561">
        <v>0</v>
      </c>
      <c r="I1432" s="563" t="str">
        <f t="shared" ref="I1432" si="148">I1394</f>
        <v>علی الحساب</v>
      </c>
    </row>
    <row r="1433" spans="1:9" ht="6" customHeight="1">
      <c r="A1433" s="579"/>
      <c r="B1433" s="585"/>
      <c r="C1433" s="54"/>
      <c r="D1433" s="54"/>
      <c r="E1433" s="54"/>
      <c r="F1433" s="54"/>
      <c r="G1433" s="560"/>
      <c r="H1433" s="562"/>
      <c r="I1433" s="564"/>
    </row>
    <row r="1434" spans="1:9" ht="6" customHeight="1">
      <c r="A1434" s="579"/>
      <c r="B1434" s="584" t="str">
        <f t="shared" ref="B1434" si="149">B1396</f>
        <v>عملیات انجام گرفته در زیرزمین ZONE Z3</v>
      </c>
      <c r="C1434" s="53"/>
      <c r="D1434" s="53"/>
      <c r="E1434" s="54"/>
      <c r="F1434" s="53"/>
      <c r="G1434" s="559">
        <v>21.28</v>
      </c>
      <c r="H1434" s="561">
        <v>0</v>
      </c>
      <c r="I1434" s="563" t="str">
        <f t="shared" ref="I1434" si="150">I1396</f>
        <v>علی الحساب</v>
      </c>
    </row>
    <row r="1435" spans="1:9" ht="6" customHeight="1">
      <c r="A1435" s="579"/>
      <c r="B1435" s="585"/>
      <c r="C1435" s="54"/>
      <c r="D1435" s="54"/>
      <c r="E1435" s="54"/>
      <c r="F1435" s="54"/>
      <c r="G1435" s="560"/>
      <c r="H1435" s="562"/>
      <c r="I1435" s="564"/>
    </row>
    <row r="1436" spans="1:9" ht="6" customHeight="1">
      <c r="A1436" s="579"/>
      <c r="B1436" s="584" t="str">
        <f t="shared" ref="B1436" si="151">B1398</f>
        <v>عملیات انجام گرفته در زیرزمین ZONE Z4</v>
      </c>
      <c r="C1436" s="53"/>
      <c r="D1436" s="53"/>
      <c r="E1436" s="54"/>
      <c r="F1436" s="53"/>
      <c r="G1436" s="559">
        <v>36.85</v>
      </c>
      <c r="H1436" s="561">
        <v>0</v>
      </c>
      <c r="I1436" s="563" t="str">
        <f t="shared" ref="I1436" si="152">I1398</f>
        <v>علی الحساب</v>
      </c>
    </row>
    <row r="1437" spans="1:9" ht="6" customHeight="1">
      <c r="A1437" s="579"/>
      <c r="B1437" s="585"/>
      <c r="C1437" s="54"/>
      <c r="D1437" s="54"/>
      <c r="E1437" s="54"/>
      <c r="F1437" s="54"/>
      <c r="G1437" s="560"/>
      <c r="H1437" s="562"/>
      <c r="I1437" s="564"/>
    </row>
    <row r="1438" spans="1:9" ht="6" customHeight="1">
      <c r="A1438" s="579"/>
      <c r="B1438" s="584" t="str">
        <f t="shared" ref="B1438" si="153">B1400</f>
        <v>عملیات انجام گرفته در زیرزمین ZONE Z5</v>
      </c>
      <c r="C1438" s="53"/>
      <c r="D1438" s="53"/>
      <c r="E1438" s="54"/>
      <c r="F1438" s="53"/>
      <c r="G1438" s="559">
        <v>6.76</v>
      </c>
      <c r="H1438" s="561">
        <v>0</v>
      </c>
      <c r="I1438" s="563" t="str">
        <f t="shared" ref="I1438" si="154">I1400</f>
        <v>علی الحساب</v>
      </c>
    </row>
    <row r="1439" spans="1:9" ht="6" customHeight="1">
      <c r="A1439" s="579"/>
      <c r="B1439" s="585"/>
      <c r="C1439" s="54"/>
      <c r="D1439" s="54"/>
      <c r="E1439" s="54"/>
      <c r="F1439" s="54"/>
      <c r="G1439" s="560"/>
      <c r="H1439" s="562"/>
      <c r="I1439" s="564"/>
    </row>
    <row r="1440" spans="1:9" ht="6" customHeight="1">
      <c r="A1440" s="579"/>
      <c r="B1440" s="584" t="str">
        <f t="shared" ref="B1440" si="155">B1402</f>
        <v>عملیات انجام گرفته در زیرزمین ZONE Y1</v>
      </c>
      <c r="C1440" s="53"/>
      <c r="D1440" s="53"/>
      <c r="E1440" s="54"/>
      <c r="F1440" s="53"/>
      <c r="G1440" s="559">
        <v>8.59</v>
      </c>
      <c r="H1440" s="561">
        <v>0</v>
      </c>
      <c r="I1440" s="563" t="str">
        <f t="shared" ref="I1440" si="156">I1402</f>
        <v>علی الحساب</v>
      </c>
    </row>
    <row r="1441" spans="1:9" ht="6" customHeight="1">
      <c r="A1441" s="579"/>
      <c r="B1441" s="585"/>
      <c r="C1441" s="54"/>
      <c r="D1441" s="54"/>
      <c r="E1441" s="54"/>
      <c r="F1441" s="54"/>
      <c r="G1441" s="560"/>
      <c r="H1441" s="562"/>
      <c r="I1441" s="564"/>
    </row>
    <row r="1442" spans="1:9" ht="6" customHeight="1">
      <c r="A1442" s="579"/>
      <c r="B1442" s="584" t="str">
        <f t="shared" ref="B1442" si="157">B1404</f>
        <v>عملیات انجام گرفته در زیرزمین ZONE Y2</v>
      </c>
      <c r="C1442" s="53"/>
      <c r="D1442" s="53"/>
      <c r="E1442" s="54"/>
      <c r="F1442" s="53"/>
      <c r="G1442" s="559">
        <v>14.06</v>
      </c>
      <c r="H1442" s="561">
        <v>0</v>
      </c>
      <c r="I1442" s="563" t="str">
        <f t="shared" ref="I1442" si="158">I1404</f>
        <v>علی الحساب</v>
      </c>
    </row>
    <row r="1443" spans="1:9" ht="6" customHeight="1">
      <c r="A1443" s="579"/>
      <c r="B1443" s="585"/>
      <c r="C1443" s="54"/>
      <c r="D1443" s="54"/>
      <c r="E1443" s="54"/>
      <c r="F1443" s="54"/>
      <c r="G1443" s="560"/>
      <c r="H1443" s="562"/>
      <c r="I1443" s="564"/>
    </row>
    <row r="1444" spans="1:9" ht="6" customHeight="1">
      <c r="A1444" s="579"/>
      <c r="B1444" s="584" t="str">
        <f t="shared" ref="B1444" si="159">B1406</f>
        <v>عملیات انجام گرفته در زیرزمین ZONE Y3</v>
      </c>
      <c r="C1444" s="53"/>
      <c r="D1444" s="53"/>
      <c r="E1444" s="54"/>
      <c r="F1444" s="53"/>
      <c r="G1444" s="559">
        <v>20.57</v>
      </c>
      <c r="H1444" s="561">
        <v>0</v>
      </c>
      <c r="I1444" s="563" t="str">
        <f t="shared" ref="I1444" si="160">I1406</f>
        <v>علی الحساب</v>
      </c>
    </row>
    <row r="1445" spans="1:9" ht="6" customHeight="1">
      <c r="A1445" s="579"/>
      <c r="B1445" s="585"/>
      <c r="C1445" s="54"/>
      <c r="D1445" s="54"/>
      <c r="E1445" s="54"/>
      <c r="F1445" s="54"/>
      <c r="G1445" s="560"/>
      <c r="H1445" s="562"/>
      <c r="I1445" s="564"/>
    </row>
    <row r="1446" spans="1:9" ht="9.6" customHeight="1">
      <c r="A1446" s="580"/>
      <c r="B1446" s="565" t="s">
        <v>33</v>
      </c>
      <c r="C1446" s="566"/>
      <c r="D1446" s="566"/>
      <c r="E1446" s="567"/>
      <c r="F1446" s="299">
        <f>A1429</f>
        <v>180308</v>
      </c>
      <c r="G1446" s="300">
        <f>SUM(G1430:G1445)</f>
        <v>140.71</v>
      </c>
      <c r="H1446" s="301">
        <v>0</v>
      </c>
      <c r="I1446" s="302" t="str">
        <f>IF(F1446="","",VLOOKUP(F1446,'ابنیه 95'!$A:$E,3,FALSE))</f>
        <v>مترمربع</v>
      </c>
    </row>
    <row r="1447" spans="1:9" ht="9.6" customHeight="1">
      <c r="A1447" s="578">
        <v>180317</v>
      </c>
      <c r="B1447" s="581" t="str">
        <f>IF(A1447="","",VLOOKUP(A1447,'ابنیه 95'!$A:$E,2,FALSE))</f>
        <v>اضافه بها براي اندودهاي با ملات ماسه سيمان يا با تارد، در صورتي كه سطح روي آن ليسه‌اي و پرداخت شود.</v>
      </c>
      <c r="C1447" s="582"/>
      <c r="D1447" s="582"/>
      <c r="E1447" s="582"/>
      <c r="F1447" s="582"/>
      <c r="G1447" s="582"/>
      <c r="H1447" s="582"/>
      <c r="I1447" s="583"/>
    </row>
    <row r="1448" spans="1:9" ht="6" customHeight="1">
      <c r="A1448" s="579"/>
      <c r="B1448" s="584" t="str">
        <f>B1430</f>
        <v>عملیات انجام گرفته در زیرزمین ZONE Z1</v>
      </c>
      <c r="C1448" s="53"/>
      <c r="D1448" s="53"/>
      <c r="E1448" s="54"/>
      <c r="F1448" s="53"/>
      <c r="G1448" s="559">
        <v>111.87</v>
      </c>
      <c r="H1448" s="561">
        <v>0</v>
      </c>
      <c r="I1448" s="563" t="str">
        <f>I1430</f>
        <v>علی الحساب</v>
      </c>
    </row>
    <row r="1449" spans="1:9" ht="6" customHeight="1">
      <c r="A1449" s="579"/>
      <c r="B1449" s="585"/>
      <c r="C1449" s="54"/>
      <c r="D1449" s="54"/>
      <c r="E1449" s="54"/>
      <c r="F1449" s="54"/>
      <c r="G1449" s="560"/>
      <c r="H1449" s="562"/>
      <c r="I1449" s="564"/>
    </row>
    <row r="1450" spans="1:9" ht="6" customHeight="1">
      <c r="A1450" s="579"/>
      <c r="B1450" s="584" t="str">
        <f t="shared" ref="B1450" si="161">B1432</f>
        <v>عملیات انجام گرفته در زیرزمین ZONE Z2</v>
      </c>
      <c r="C1450" s="53"/>
      <c r="D1450" s="53"/>
      <c r="E1450" s="54"/>
      <c r="F1450" s="53"/>
      <c r="G1450" s="559">
        <v>594.52</v>
      </c>
      <c r="H1450" s="561">
        <v>0</v>
      </c>
      <c r="I1450" s="563" t="str">
        <f t="shared" ref="I1450" si="162">I1432</f>
        <v>علی الحساب</v>
      </c>
    </row>
    <row r="1451" spans="1:9" ht="6" customHeight="1">
      <c r="A1451" s="579"/>
      <c r="B1451" s="585"/>
      <c r="C1451" s="54"/>
      <c r="D1451" s="54"/>
      <c r="E1451" s="54"/>
      <c r="F1451" s="54"/>
      <c r="G1451" s="560"/>
      <c r="H1451" s="562"/>
      <c r="I1451" s="564"/>
    </row>
    <row r="1452" spans="1:9" ht="6" customHeight="1">
      <c r="A1452" s="579"/>
      <c r="B1452" s="584" t="str">
        <f t="shared" ref="B1452" si="163">B1434</f>
        <v>عملیات انجام گرفته در زیرزمین ZONE Z3</v>
      </c>
      <c r="C1452" s="53"/>
      <c r="D1452" s="53"/>
      <c r="E1452" s="54"/>
      <c r="F1452" s="53"/>
      <c r="G1452" s="559">
        <v>461.04</v>
      </c>
      <c r="H1452" s="561">
        <v>0</v>
      </c>
      <c r="I1452" s="563" t="str">
        <f t="shared" ref="I1452" si="164">I1434</f>
        <v>علی الحساب</v>
      </c>
    </row>
    <row r="1453" spans="1:9" ht="6" customHeight="1">
      <c r="A1453" s="579"/>
      <c r="B1453" s="585"/>
      <c r="C1453" s="54"/>
      <c r="D1453" s="54"/>
      <c r="E1453" s="54"/>
      <c r="F1453" s="54"/>
      <c r="G1453" s="560"/>
      <c r="H1453" s="562"/>
      <c r="I1453" s="564"/>
    </row>
    <row r="1454" spans="1:9" ht="6" customHeight="1">
      <c r="A1454" s="579"/>
      <c r="B1454" s="584" t="str">
        <f t="shared" ref="B1454" si="165">B1436</f>
        <v>عملیات انجام گرفته در زیرزمین ZONE Z4</v>
      </c>
      <c r="C1454" s="53"/>
      <c r="D1454" s="53"/>
      <c r="E1454" s="54"/>
      <c r="F1454" s="53"/>
      <c r="G1454" s="559">
        <v>798.43</v>
      </c>
      <c r="H1454" s="561">
        <v>0</v>
      </c>
      <c r="I1454" s="563" t="str">
        <f t="shared" ref="I1454" si="166">I1436</f>
        <v>علی الحساب</v>
      </c>
    </row>
    <row r="1455" spans="1:9" ht="6" customHeight="1">
      <c r="A1455" s="579"/>
      <c r="B1455" s="585"/>
      <c r="C1455" s="54"/>
      <c r="D1455" s="54"/>
      <c r="E1455" s="54"/>
      <c r="F1455" s="54"/>
      <c r="G1455" s="560"/>
      <c r="H1455" s="562"/>
      <c r="I1455" s="564"/>
    </row>
    <row r="1456" spans="1:9" ht="6" customHeight="1">
      <c r="A1456" s="579"/>
      <c r="B1456" s="584" t="str">
        <f t="shared" ref="B1456" si="167">B1438</f>
        <v>عملیات انجام گرفته در زیرزمین ZONE Z5</v>
      </c>
      <c r="C1456" s="53"/>
      <c r="D1456" s="53"/>
      <c r="E1456" s="54"/>
      <c r="F1456" s="53"/>
      <c r="G1456" s="559">
        <v>146.44999999999999</v>
      </c>
      <c r="H1456" s="561">
        <v>0</v>
      </c>
      <c r="I1456" s="563" t="str">
        <f t="shared" ref="I1456" si="168">I1438</f>
        <v>علی الحساب</v>
      </c>
    </row>
    <row r="1457" spans="1:9" ht="6" customHeight="1">
      <c r="A1457" s="579"/>
      <c r="B1457" s="585"/>
      <c r="C1457" s="54"/>
      <c r="D1457" s="54"/>
      <c r="E1457" s="54"/>
      <c r="F1457" s="54"/>
      <c r="G1457" s="560"/>
      <c r="H1457" s="562"/>
      <c r="I1457" s="564"/>
    </row>
    <row r="1458" spans="1:9" ht="6" customHeight="1">
      <c r="A1458" s="579"/>
      <c r="B1458" s="584" t="str">
        <f t="shared" ref="B1458" si="169">B1440</f>
        <v>عملیات انجام گرفته در زیرزمین ZONE Y1</v>
      </c>
      <c r="C1458" s="53"/>
      <c r="D1458" s="53"/>
      <c r="E1458" s="54"/>
      <c r="F1458" s="53"/>
      <c r="G1458" s="559">
        <v>186.04</v>
      </c>
      <c r="H1458" s="561">
        <v>0</v>
      </c>
      <c r="I1458" s="563" t="str">
        <f t="shared" ref="I1458" si="170">I1440</f>
        <v>علی الحساب</v>
      </c>
    </row>
    <row r="1459" spans="1:9" ht="6" customHeight="1">
      <c r="A1459" s="579"/>
      <c r="B1459" s="585"/>
      <c r="C1459" s="54"/>
      <c r="D1459" s="54"/>
      <c r="E1459" s="54"/>
      <c r="F1459" s="54"/>
      <c r="G1459" s="560"/>
      <c r="H1459" s="562"/>
      <c r="I1459" s="564"/>
    </row>
    <row r="1460" spans="1:9" ht="6" customHeight="1">
      <c r="A1460" s="579"/>
      <c r="B1460" s="584" t="str">
        <f t="shared" ref="B1460" si="171">B1442</f>
        <v>عملیات انجام گرفته در زیرزمین ZONE Y2</v>
      </c>
      <c r="C1460" s="53"/>
      <c r="D1460" s="53"/>
      <c r="E1460" s="54"/>
      <c r="F1460" s="53"/>
      <c r="G1460" s="559">
        <v>304.52999999999997</v>
      </c>
      <c r="H1460" s="561">
        <v>0</v>
      </c>
      <c r="I1460" s="563" t="str">
        <f t="shared" ref="I1460" si="172">I1442</f>
        <v>علی الحساب</v>
      </c>
    </row>
    <row r="1461" spans="1:9" ht="6" customHeight="1">
      <c r="A1461" s="579"/>
      <c r="B1461" s="585"/>
      <c r="C1461" s="54"/>
      <c r="D1461" s="54"/>
      <c r="E1461" s="54"/>
      <c r="F1461" s="54"/>
      <c r="G1461" s="560"/>
      <c r="H1461" s="562"/>
      <c r="I1461" s="564"/>
    </row>
    <row r="1462" spans="1:9" ht="6" customHeight="1">
      <c r="A1462" s="579"/>
      <c r="B1462" s="584" t="str">
        <f t="shared" ref="B1462" si="173">B1444</f>
        <v>عملیات انجام گرفته در زیرزمین ZONE Y3</v>
      </c>
      <c r="C1462" s="53"/>
      <c r="D1462" s="53"/>
      <c r="E1462" s="54"/>
      <c r="F1462" s="53"/>
      <c r="G1462" s="559">
        <v>445.69</v>
      </c>
      <c r="H1462" s="561">
        <v>0</v>
      </c>
      <c r="I1462" s="563" t="str">
        <f t="shared" ref="I1462" si="174">I1444</f>
        <v>علی الحساب</v>
      </c>
    </row>
    <row r="1463" spans="1:9" ht="6" customHeight="1">
      <c r="A1463" s="579"/>
      <c r="B1463" s="585"/>
      <c r="C1463" s="54"/>
      <c r="D1463" s="54"/>
      <c r="E1463" s="54"/>
      <c r="F1463" s="54"/>
      <c r="G1463" s="560"/>
      <c r="H1463" s="562"/>
      <c r="I1463" s="564"/>
    </row>
    <row r="1464" spans="1:9" ht="9.6" customHeight="1">
      <c r="A1464" s="580"/>
      <c r="B1464" s="565" t="s">
        <v>33</v>
      </c>
      <c r="C1464" s="566"/>
      <c r="D1464" s="566"/>
      <c r="E1464" s="567"/>
      <c r="F1464" s="299">
        <f>A1447</f>
        <v>180317</v>
      </c>
      <c r="G1464" s="300">
        <f>SUM(G1448:G1463)</f>
        <v>3048.57</v>
      </c>
      <c r="H1464" s="301">
        <v>0</v>
      </c>
      <c r="I1464" s="302" t="str">
        <f>IF(F1464="","",VLOOKUP(F1464,'ابنیه 95'!$A:$E,3,FALSE))</f>
        <v>مترمربع</v>
      </c>
    </row>
    <row r="1465" spans="1:9" ht="12" customHeight="1">
      <c r="A1465" s="586" t="s">
        <v>3095</v>
      </c>
      <c r="B1465" s="587"/>
      <c r="C1465" s="587"/>
      <c r="D1465" s="587"/>
      <c r="E1465" s="587"/>
      <c r="F1465" s="587"/>
      <c r="G1465" s="587"/>
      <c r="H1465" s="587"/>
      <c r="I1465" s="588"/>
    </row>
    <row r="1466" spans="1:9" ht="12" customHeight="1">
      <c r="A1466" s="578">
        <v>220504</v>
      </c>
      <c r="B1466" s="581" t="str">
        <f>IF(A1466="","",VLOOKUP(A1466,'ابنیه 95'!$A:$E,2,FALSE))</f>
        <v>تهيه و نصب سنگ گرانيت گل پنبه‌اي در سطوح افقي به ضخامت 1/5 تا 2 سانتي‌متر.</v>
      </c>
      <c r="C1466" s="582"/>
      <c r="D1466" s="582"/>
      <c r="E1466" s="582"/>
      <c r="F1466" s="582"/>
      <c r="G1466" s="582"/>
      <c r="H1466" s="582"/>
      <c r="I1466" s="583"/>
    </row>
    <row r="1467" spans="1:9" ht="6.6" customHeight="1">
      <c r="A1467" s="579"/>
      <c r="B1467" s="584" t="s">
        <v>3051</v>
      </c>
      <c r="C1467" s="53"/>
      <c r="D1467" s="53"/>
      <c r="E1467" s="54"/>
      <c r="F1467" s="53"/>
      <c r="G1467" s="559"/>
      <c r="H1467" s="561">
        <v>0</v>
      </c>
      <c r="I1467" s="563" t="s">
        <v>65</v>
      </c>
    </row>
    <row r="1468" spans="1:9" ht="6.6" customHeight="1">
      <c r="A1468" s="579"/>
      <c r="B1468" s="585"/>
      <c r="C1468" s="54"/>
      <c r="D1468" s="54"/>
      <c r="E1468" s="54"/>
      <c r="F1468" s="54"/>
      <c r="G1468" s="560"/>
      <c r="H1468" s="562"/>
      <c r="I1468" s="564"/>
    </row>
    <row r="1469" spans="1:9" ht="6.6" customHeight="1">
      <c r="A1469" s="579"/>
      <c r="B1469" s="584" t="s">
        <v>3052</v>
      </c>
      <c r="C1469" s="53"/>
      <c r="D1469" s="53"/>
      <c r="E1469" s="54"/>
      <c r="F1469" s="53"/>
      <c r="G1469" s="559">
        <v>372.02</v>
      </c>
      <c r="H1469" s="561">
        <v>0</v>
      </c>
      <c r="I1469" s="563" t="s">
        <v>65</v>
      </c>
    </row>
    <row r="1470" spans="1:9" ht="6.6" customHeight="1">
      <c r="A1470" s="579"/>
      <c r="B1470" s="585"/>
      <c r="C1470" s="54"/>
      <c r="D1470" s="54"/>
      <c r="E1470" s="54"/>
      <c r="F1470" s="54"/>
      <c r="G1470" s="560"/>
      <c r="H1470" s="562"/>
      <c r="I1470" s="564"/>
    </row>
    <row r="1471" spans="1:9" ht="6.6" customHeight="1">
      <c r="A1471" s="579"/>
      <c r="B1471" s="584" t="s">
        <v>3053</v>
      </c>
      <c r="C1471" s="53"/>
      <c r="D1471" s="53"/>
      <c r="E1471" s="54"/>
      <c r="F1471" s="53"/>
      <c r="G1471" s="559">
        <v>288.5</v>
      </c>
      <c r="H1471" s="561">
        <v>0</v>
      </c>
      <c r="I1471" s="563" t="s">
        <v>65</v>
      </c>
    </row>
    <row r="1472" spans="1:9" ht="6.6" customHeight="1">
      <c r="A1472" s="579"/>
      <c r="B1472" s="585"/>
      <c r="C1472" s="54"/>
      <c r="D1472" s="54"/>
      <c r="E1472" s="54"/>
      <c r="F1472" s="54"/>
      <c r="G1472" s="560"/>
      <c r="H1472" s="562"/>
      <c r="I1472" s="564"/>
    </row>
    <row r="1473" spans="1:9" ht="6.6" customHeight="1">
      <c r="A1473" s="579"/>
      <c r="B1473" s="584" t="s">
        <v>3054</v>
      </c>
      <c r="C1473" s="53"/>
      <c r="D1473" s="53"/>
      <c r="E1473" s="54"/>
      <c r="F1473" s="53"/>
      <c r="G1473" s="559"/>
      <c r="H1473" s="561">
        <v>0</v>
      </c>
      <c r="I1473" s="563" t="s">
        <v>65</v>
      </c>
    </row>
    <row r="1474" spans="1:9" ht="6.6" customHeight="1">
      <c r="A1474" s="579"/>
      <c r="B1474" s="585"/>
      <c r="C1474" s="54"/>
      <c r="D1474" s="54"/>
      <c r="E1474" s="54"/>
      <c r="F1474" s="54"/>
      <c r="G1474" s="560"/>
      <c r="H1474" s="562"/>
      <c r="I1474" s="564"/>
    </row>
    <row r="1475" spans="1:9" ht="6.6" customHeight="1">
      <c r="A1475" s="579"/>
      <c r="B1475" s="584" t="s">
        <v>3055</v>
      </c>
      <c r="C1475" s="53"/>
      <c r="D1475" s="53"/>
      <c r="E1475" s="54"/>
      <c r="F1475" s="53"/>
      <c r="G1475" s="559"/>
      <c r="H1475" s="561">
        <v>0</v>
      </c>
      <c r="I1475" s="563" t="s">
        <v>65</v>
      </c>
    </row>
    <row r="1476" spans="1:9" ht="6.6" customHeight="1">
      <c r="A1476" s="579"/>
      <c r="B1476" s="585"/>
      <c r="C1476" s="54"/>
      <c r="D1476" s="54"/>
      <c r="E1476" s="54"/>
      <c r="F1476" s="54"/>
      <c r="G1476" s="560"/>
      <c r="H1476" s="562"/>
      <c r="I1476" s="564"/>
    </row>
    <row r="1477" spans="1:9" ht="6.6" customHeight="1">
      <c r="A1477" s="579"/>
      <c r="B1477" s="584" t="s">
        <v>3056</v>
      </c>
      <c r="C1477" s="53"/>
      <c r="D1477" s="53"/>
      <c r="E1477" s="54"/>
      <c r="F1477" s="53"/>
      <c r="G1477" s="559"/>
      <c r="H1477" s="561">
        <v>0</v>
      </c>
      <c r="I1477" s="563" t="s">
        <v>65</v>
      </c>
    </row>
    <row r="1478" spans="1:9" ht="6.6" customHeight="1">
      <c r="A1478" s="579"/>
      <c r="B1478" s="585"/>
      <c r="C1478" s="54"/>
      <c r="D1478" s="54"/>
      <c r="E1478" s="54"/>
      <c r="F1478" s="54"/>
      <c r="G1478" s="560"/>
      <c r="H1478" s="562"/>
      <c r="I1478" s="564"/>
    </row>
    <row r="1479" spans="1:9" ht="6.6" customHeight="1">
      <c r="A1479" s="579"/>
      <c r="B1479" s="584" t="s">
        <v>3057</v>
      </c>
      <c r="C1479" s="53"/>
      <c r="D1479" s="53"/>
      <c r="E1479" s="54"/>
      <c r="F1479" s="53"/>
      <c r="G1479" s="559"/>
      <c r="H1479" s="561">
        <v>0</v>
      </c>
      <c r="I1479" s="563" t="s">
        <v>65</v>
      </c>
    </row>
    <row r="1480" spans="1:9" ht="6.6" customHeight="1">
      <c r="A1480" s="579"/>
      <c r="B1480" s="585"/>
      <c r="C1480" s="54"/>
      <c r="D1480" s="54"/>
      <c r="E1480" s="54"/>
      <c r="F1480" s="54"/>
      <c r="G1480" s="560"/>
      <c r="H1480" s="562"/>
      <c r="I1480" s="564"/>
    </row>
    <row r="1481" spans="1:9" ht="6.6" customHeight="1">
      <c r="A1481" s="579"/>
      <c r="B1481" s="584" t="s">
        <v>3058</v>
      </c>
      <c r="C1481" s="53"/>
      <c r="D1481" s="53"/>
      <c r="E1481" s="54"/>
      <c r="F1481" s="53"/>
      <c r="G1481" s="559"/>
      <c r="H1481" s="561">
        <v>0</v>
      </c>
      <c r="I1481" s="563" t="s">
        <v>65</v>
      </c>
    </row>
    <row r="1482" spans="1:9" ht="6.6" customHeight="1">
      <c r="A1482" s="579"/>
      <c r="B1482" s="585"/>
      <c r="C1482" s="54"/>
      <c r="D1482" s="54"/>
      <c r="E1482" s="54"/>
      <c r="F1482" s="54"/>
      <c r="G1482" s="560"/>
      <c r="H1482" s="562"/>
      <c r="I1482" s="564"/>
    </row>
    <row r="1483" spans="1:9" ht="12" customHeight="1">
      <c r="A1483" s="580"/>
      <c r="B1483" s="565" t="s">
        <v>33</v>
      </c>
      <c r="C1483" s="566"/>
      <c r="D1483" s="566"/>
      <c r="E1483" s="567"/>
      <c r="F1483" s="299">
        <f>A1466</f>
        <v>220504</v>
      </c>
      <c r="G1483" s="414">
        <f>SUM(G1467:G1482)</f>
        <v>660.52</v>
      </c>
      <c r="H1483" s="415">
        <v>0</v>
      </c>
      <c r="I1483" s="302" t="str">
        <f>IF(F1483="","",VLOOKUP(F1483,'ابنیه 95'!$A:$E,3,FALSE))</f>
        <v>مترمربع</v>
      </c>
    </row>
    <row r="1484" spans="1:9" ht="12" customHeight="1">
      <c r="A1484" s="578">
        <v>220603</v>
      </c>
      <c r="B1484" s="581" t="str">
        <f>IF(A1484="","",VLOOKUP(A1484,'ابنیه 95'!$A:$E,2,FALSE))</f>
        <v>اضافه بهابه رديف‌هاي تهيه و نصب سنگ پلاك ، براي تهيه و اجراي كامل اسكوپ در سنگ‌هاي گرانيت براي سطوح قايم.</v>
      </c>
      <c r="C1484" s="582"/>
      <c r="D1484" s="582"/>
      <c r="E1484" s="582"/>
      <c r="F1484" s="582"/>
      <c r="G1484" s="582"/>
      <c r="H1484" s="582"/>
      <c r="I1484" s="583"/>
    </row>
    <row r="1485" spans="1:9" ht="6.6" customHeight="1">
      <c r="A1485" s="579"/>
      <c r="B1485" s="584" t="str">
        <f>B1467</f>
        <v>عملیات انجام گرفته در زیرزمین ZONE Z1</v>
      </c>
      <c r="C1485" s="53"/>
      <c r="D1485" s="53"/>
      <c r="E1485" s="54"/>
      <c r="F1485" s="53"/>
      <c r="G1485" s="559">
        <f>G1467</f>
        <v>0</v>
      </c>
      <c r="H1485" s="561">
        <v>0</v>
      </c>
      <c r="I1485" s="563" t="str">
        <f>I1467</f>
        <v>علی الحساب</v>
      </c>
    </row>
    <row r="1486" spans="1:9" ht="6.6" customHeight="1">
      <c r="A1486" s="579"/>
      <c r="B1486" s="585"/>
      <c r="C1486" s="54"/>
      <c r="D1486" s="54"/>
      <c r="E1486" s="54"/>
      <c r="F1486" s="54"/>
      <c r="G1486" s="560"/>
      <c r="H1486" s="562"/>
      <c r="I1486" s="564"/>
    </row>
    <row r="1487" spans="1:9" ht="6.6" customHeight="1">
      <c r="A1487" s="579"/>
      <c r="B1487" s="584" t="str">
        <f t="shared" ref="B1487" si="175">B1469</f>
        <v>عملیات انجام گرفته در زیرزمین ZONE Z2</v>
      </c>
      <c r="C1487" s="53"/>
      <c r="D1487" s="53"/>
      <c r="E1487" s="54"/>
      <c r="F1487" s="53"/>
      <c r="G1487" s="559">
        <f t="shared" ref="G1487" si="176">G1469</f>
        <v>372.02</v>
      </c>
      <c r="H1487" s="561">
        <v>0</v>
      </c>
      <c r="I1487" s="563" t="str">
        <f t="shared" ref="I1487" si="177">I1469</f>
        <v>علی الحساب</v>
      </c>
    </row>
    <row r="1488" spans="1:9" ht="6.6" customHeight="1">
      <c r="A1488" s="579"/>
      <c r="B1488" s="585"/>
      <c r="C1488" s="54"/>
      <c r="D1488" s="54"/>
      <c r="E1488" s="54"/>
      <c r="F1488" s="54"/>
      <c r="G1488" s="560"/>
      <c r="H1488" s="562"/>
      <c r="I1488" s="564"/>
    </row>
    <row r="1489" spans="1:9" ht="6.6" customHeight="1">
      <c r="A1489" s="579"/>
      <c r="B1489" s="584" t="str">
        <f t="shared" ref="B1489" si="178">B1471</f>
        <v>عملیات انجام گرفته در زیرزمین ZONE Z3</v>
      </c>
      <c r="C1489" s="53"/>
      <c r="D1489" s="53"/>
      <c r="E1489" s="54"/>
      <c r="F1489" s="53"/>
      <c r="G1489" s="559">
        <f t="shared" ref="G1489" si="179">G1471</f>
        <v>288.5</v>
      </c>
      <c r="H1489" s="561">
        <v>0</v>
      </c>
      <c r="I1489" s="563" t="str">
        <f t="shared" ref="I1489" si="180">I1471</f>
        <v>علی الحساب</v>
      </c>
    </row>
    <row r="1490" spans="1:9" ht="6.6" customHeight="1">
      <c r="A1490" s="579"/>
      <c r="B1490" s="585"/>
      <c r="C1490" s="54"/>
      <c r="D1490" s="54"/>
      <c r="E1490" s="54"/>
      <c r="F1490" s="54"/>
      <c r="G1490" s="560"/>
      <c r="H1490" s="562"/>
      <c r="I1490" s="564"/>
    </row>
    <row r="1491" spans="1:9" ht="6.6" customHeight="1">
      <c r="A1491" s="579"/>
      <c r="B1491" s="584" t="str">
        <f t="shared" ref="B1491" si="181">B1473</f>
        <v>عملیات انجام گرفته در زیرزمین ZONE Z4</v>
      </c>
      <c r="C1491" s="53"/>
      <c r="D1491" s="53"/>
      <c r="E1491" s="54"/>
      <c r="F1491" s="53"/>
      <c r="G1491" s="559">
        <f t="shared" ref="G1491" si="182">G1473</f>
        <v>0</v>
      </c>
      <c r="H1491" s="561">
        <v>0</v>
      </c>
      <c r="I1491" s="563" t="str">
        <f t="shared" ref="I1491" si="183">I1473</f>
        <v>علی الحساب</v>
      </c>
    </row>
    <row r="1492" spans="1:9" ht="6.6" customHeight="1">
      <c r="A1492" s="579"/>
      <c r="B1492" s="585"/>
      <c r="C1492" s="54"/>
      <c r="D1492" s="54"/>
      <c r="E1492" s="54"/>
      <c r="F1492" s="54"/>
      <c r="G1492" s="560"/>
      <c r="H1492" s="562"/>
      <c r="I1492" s="564"/>
    </row>
    <row r="1493" spans="1:9" ht="6.6" customHeight="1">
      <c r="A1493" s="579"/>
      <c r="B1493" s="584" t="str">
        <f t="shared" ref="B1493" si="184">B1475</f>
        <v>عملیات انجام گرفته در زیرزمین ZONE Z5</v>
      </c>
      <c r="C1493" s="53"/>
      <c r="D1493" s="53"/>
      <c r="E1493" s="54"/>
      <c r="F1493" s="53"/>
      <c r="G1493" s="559">
        <f t="shared" ref="G1493" si="185">G1475</f>
        <v>0</v>
      </c>
      <c r="H1493" s="561">
        <v>0</v>
      </c>
      <c r="I1493" s="563" t="str">
        <f t="shared" ref="I1493" si="186">I1475</f>
        <v>علی الحساب</v>
      </c>
    </row>
    <row r="1494" spans="1:9" ht="6.6" customHeight="1">
      <c r="A1494" s="579"/>
      <c r="B1494" s="585"/>
      <c r="C1494" s="54"/>
      <c r="D1494" s="54"/>
      <c r="E1494" s="54"/>
      <c r="F1494" s="54"/>
      <c r="G1494" s="560"/>
      <c r="H1494" s="562"/>
      <c r="I1494" s="564"/>
    </row>
    <row r="1495" spans="1:9" ht="6.6" customHeight="1">
      <c r="A1495" s="579"/>
      <c r="B1495" s="584" t="str">
        <f t="shared" ref="B1495" si="187">B1477</f>
        <v>عملیات انجام گرفته در زیرزمین ZONE Y1</v>
      </c>
      <c r="C1495" s="53"/>
      <c r="D1495" s="53"/>
      <c r="E1495" s="54"/>
      <c r="F1495" s="53"/>
      <c r="G1495" s="559">
        <f t="shared" ref="G1495" si="188">G1477</f>
        <v>0</v>
      </c>
      <c r="H1495" s="561">
        <v>0</v>
      </c>
      <c r="I1495" s="563" t="str">
        <f t="shared" ref="I1495" si="189">I1477</f>
        <v>علی الحساب</v>
      </c>
    </row>
    <row r="1496" spans="1:9" ht="6.6" customHeight="1">
      <c r="A1496" s="579"/>
      <c r="B1496" s="585"/>
      <c r="C1496" s="54"/>
      <c r="D1496" s="54"/>
      <c r="E1496" s="54"/>
      <c r="F1496" s="54"/>
      <c r="G1496" s="560"/>
      <c r="H1496" s="562"/>
      <c r="I1496" s="564"/>
    </row>
    <row r="1497" spans="1:9" ht="6.6" customHeight="1">
      <c r="A1497" s="579"/>
      <c r="B1497" s="584" t="str">
        <f t="shared" ref="B1497" si="190">B1479</f>
        <v>عملیات انجام گرفته در زیرزمین ZONE Y2</v>
      </c>
      <c r="C1497" s="53"/>
      <c r="D1497" s="53"/>
      <c r="E1497" s="54"/>
      <c r="F1497" s="53"/>
      <c r="G1497" s="559">
        <f t="shared" ref="G1497" si="191">G1479</f>
        <v>0</v>
      </c>
      <c r="H1497" s="561">
        <v>0</v>
      </c>
      <c r="I1497" s="563" t="str">
        <f t="shared" ref="I1497" si="192">I1479</f>
        <v>علی الحساب</v>
      </c>
    </row>
    <row r="1498" spans="1:9" ht="6.6" customHeight="1">
      <c r="A1498" s="579"/>
      <c r="B1498" s="585"/>
      <c r="C1498" s="54"/>
      <c r="D1498" s="54"/>
      <c r="E1498" s="54"/>
      <c r="F1498" s="54"/>
      <c r="G1498" s="560"/>
      <c r="H1498" s="562"/>
      <c r="I1498" s="564"/>
    </row>
    <row r="1499" spans="1:9" ht="6.6" customHeight="1">
      <c r="A1499" s="579"/>
      <c r="B1499" s="584" t="str">
        <f t="shared" ref="B1499" si="193">B1481</f>
        <v>عملیات انجام گرفته در زیرزمین ZONE Y3</v>
      </c>
      <c r="C1499" s="53"/>
      <c r="D1499" s="53"/>
      <c r="E1499" s="54"/>
      <c r="F1499" s="53"/>
      <c r="G1499" s="559">
        <f t="shared" ref="G1499" si="194">G1481</f>
        <v>0</v>
      </c>
      <c r="H1499" s="561">
        <v>0</v>
      </c>
      <c r="I1499" s="563" t="str">
        <f t="shared" ref="I1499" si="195">I1481</f>
        <v>علی الحساب</v>
      </c>
    </row>
    <row r="1500" spans="1:9" ht="6.6" customHeight="1">
      <c r="A1500" s="579"/>
      <c r="B1500" s="585"/>
      <c r="C1500" s="54"/>
      <c r="D1500" s="54"/>
      <c r="E1500" s="54"/>
      <c r="F1500" s="54"/>
      <c r="G1500" s="560"/>
      <c r="H1500" s="562"/>
      <c r="I1500" s="564"/>
    </row>
    <row r="1501" spans="1:9" ht="12" customHeight="1">
      <c r="A1501" s="580"/>
      <c r="B1501" s="565" t="s">
        <v>33</v>
      </c>
      <c r="C1501" s="566"/>
      <c r="D1501" s="566"/>
      <c r="E1501" s="567"/>
      <c r="F1501" s="299">
        <f>A1484</f>
        <v>220603</v>
      </c>
      <c r="G1501" s="414">
        <f>SUM(G1485:G1500)</f>
        <v>660.52</v>
      </c>
      <c r="H1501" s="415">
        <v>0</v>
      </c>
      <c r="I1501" s="302" t="str">
        <f>IF(F1501="","",VLOOKUP(F1501,'ابنیه 95'!$A:$E,3,FALSE))</f>
        <v>مترمربع</v>
      </c>
    </row>
    <row r="1502" spans="1:9" ht="12" customHeight="1">
      <c r="A1502" s="578" t="s">
        <v>3068</v>
      </c>
      <c r="B1502" s="581" t="s">
        <v>3097</v>
      </c>
      <c r="C1502" s="582"/>
      <c r="D1502" s="582"/>
      <c r="E1502" s="582"/>
      <c r="F1502" s="582"/>
      <c r="G1502" s="582"/>
      <c r="H1502" s="582"/>
      <c r="I1502" s="583"/>
    </row>
    <row r="1503" spans="1:9" ht="6.6" customHeight="1">
      <c r="A1503" s="579"/>
      <c r="B1503" s="584" t="str">
        <f>B1467</f>
        <v>عملیات انجام گرفته در زیرزمین ZONE Z1</v>
      </c>
      <c r="C1503" s="53"/>
      <c r="D1503" s="53"/>
      <c r="E1503" s="54"/>
      <c r="F1503" s="53"/>
      <c r="G1503" s="559"/>
      <c r="H1503" s="561">
        <v>0</v>
      </c>
      <c r="I1503" s="563" t="s">
        <v>65</v>
      </c>
    </row>
    <row r="1504" spans="1:9" ht="6.6" customHeight="1">
      <c r="A1504" s="579"/>
      <c r="B1504" s="585"/>
      <c r="C1504" s="54"/>
      <c r="D1504" s="54"/>
      <c r="E1504" s="54"/>
      <c r="F1504" s="54"/>
      <c r="G1504" s="560"/>
      <c r="H1504" s="562"/>
      <c r="I1504" s="564"/>
    </row>
    <row r="1505" spans="1:9" ht="6.6" customHeight="1">
      <c r="A1505" s="579"/>
      <c r="B1505" s="584" t="str">
        <f t="shared" ref="B1505" si="196">B1469</f>
        <v>عملیات انجام گرفته در زیرزمین ZONE Z2</v>
      </c>
      <c r="C1505" s="53"/>
      <c r="D1505" s="53"/>
      <c r="E1505" s="54"/>
      <c r="F1505" s="53"/>
      <c r="G1505" s="559">
        <v>265.73</v>
      </c>
      <c r="H1505" s="561">
        <v>0</v>
      </c>
      <c r="I1505" s="563" t="s">
        <v>65</v>
      </c>
    </row>
    <row r="1506" spans="1:9" ht="6.6" customHeight="1">
      <c r="A1506" s="579"/>
      <c r="B1506" s="585"/>
      <c r="C1506" s="54"/>
      <c r="D1506" s="54"/>
      <c r="E1506" s="54"/>
      <c r="F1506" s="54"/>
      <c r="G1506" s="560"/>
      <c r="H1506" s="562"/>
      <c r="I1506" s="564"/>
    </row>
    <row r="1507" spans="1:9" ht="6.6" customHeight="1">
      <c r="A1507" s="579"/>
      <c r="B1507" s="584" t="str">
        <f t="shared" ref="B1507" si="197">B1471</f>
        <v>عملیات انجام گرفته در زیرزمین ZONE Z3</v>
      </c>
      <c r="C1507" s="53"/>
      <c r="D1507" s="53"/>
      <c r="E1507" s="54"/>
      <c r="F1507" s="53"/>
      <c r="G1507" s="559">
        <v>206.07</v>
      </c>
      <c r="H1507" s="561">
        <v>0</v>
      </c>
      <c r="I1507" s="563" t="s">
        <v>65</v>
      </c>
    </row>
    <row r="1508" spans="1:9" ht="6.6" customHeight="1">
      <c r="A1508" s="579"/>
      <c r="B1508" s="585"/>
      <c r="C1508" s="54"/>
      <c r="D1508" s="54"/>
      <c r="E1508" s="54"/>
      <c r="F1508" s="54"/>
      <c r="G1508" s="560"/>
      <c r="H1508" s="562"/>
      <c r="I1508" s="564"/>
    </row>
    <row r="1509" spans="1:9" ht="6.6" customHeight="1">
      <c r="A1509" s="579"/>
      <c r="B1509" s="584" t="str">
        <f t="shared" ref="B1509" si="198">B1473</f>
        <v>عملیات انجام گرفته در زیرزمین ZONE Z4</v>
      </c>
      <c r="C1509" s="53"/>
      <c r="D1509" s="53"/>
      <c r="E1509" s="54"/>
      <c r="F1509" s="53"/>
      <c r="G1509" s="559"/>
      <c r="H1509" s="561">
        <v>0</v>
      </c>
      <c r="I1509" s="563" t="s">
        <v>65</v>
      </c>
    </row>
    <row r="1510" spans="1:9" ht="6.6" customHeight="1">
      <c r="A1510" s="579"/>
      <c r="B1510" s="585"/>
      <c r="C1510" s="54"/>
      <c r="D1510" s="54"/>
      <c r="E1510" s="54"/>
      <c r="F1510" s="54"/>
      <c r="G1510" s="560"/>
      <c r="H1510" s="562"/>
      <c r="I1510" s="564"/>
    </row>
    <row r="1511" spans="1:9" ht="6.6" customHeight="1">
      <c r="A1511" s="579"/>
      <c r="B1511" s="584" t="str">
        <f t="shared" ref="B1511" si="199">B1475</f>
        <v>عملیات انجام گرفته در زیرزمین ZONE Z5</v>
      </c>
      <c r="C1511" s="53"/>
      <c r="D1511" s="53"/>
      <c r="E1511" s="54"/>
      <c r="F1511" s="53"/>
      <c r="G1511" s="559"/>
      <c r="H1511" s="561">
        <v>0</v>
      </c>
      <c r="I1511" s="563" t="s">
        <v>65</v>
      </c>
    </row>
    <row r="1512" spans="1:9" ht="6.6" customHeight="1">
      <c r="A1512" s="579"/>
      <c r="B1512" s="585"/>
      <c r="C1512" s="54"/>
      <c r="D1512" s="54"/>
      <c r="E1512" s="54"/>
      <c r="F1512" s="54"/>
      <c r="G1512" s="560"/>
      <c r="H1512" s="562"/>
      <c r="I1512" s="564"/>
    </row>
    <row r="1513" spans="1:9" ht="6.6" customHeight="1">
      <c r="A1513" s="579"/>
      <c r="B1513" s="584" t="str">
        <f t="shared" ref="B1513" si="200">B1477</f>
        <v>عملیات انجام گرفته در زیرزمین ZONE Y1</v>
      </c>
      <c r="C1513" s="53"/>
      <c r="D1513" s="53"/>
      <c r="E1513" s="54"/>
      <c r="F1513" s="53"/>
      <c r="G1513" s="559"/>
      <c r="H1513" s="561">
        <v>0</v>
      </c>
      <c r="I1513" s="563" t="s">
        <v>65</v>
      </c>
    </row>
    <row r="1514" spans="1:9" ht="6.6" customHeight="1">
      <c r="A1514" s="579"/>
      <c r="B1514" s="585"/>
      <c r="C1514" s="54"/>
      <c r="D1514" s="54"/>
      <c r="E1514" s="54"/>
      <c r="F1514" s="54"/>
      <c r="G1514" s="560"/>
      <c r="H1514" s="562"/>
      <c r="I1514" s="564"/>
    </row>
    <row r="1515" spans="1:9" ht="6.6" customHeight="1">
      <c r="A1515" s="579"/>
      <c r="B1515" s="584" t="str">
        <f t="shared" ref="B1515" si="201">B1479</f>
        <v>عملیات انجام گرفته در زیرزمین ZONE Y2</v>
      </c>
      <c r="C1515" s="53"/>
      <c r="D1515" s="53"/>
      <c r="E1515" s="54"/>
      <c r="F1515" s="53"/>
      <c r="G1515" s="559"/>
      <c r="H1515" s="561">
        <v>0</v>
      </c>
      <c r="I1515" s="563" t="s">
        <v>65</v>
      </c>
    </row>
    <row r="1516" spans="1:9" ht="6.6" customHeight="1">
      <c r="A1516" s="579"/>
      <c r="B1516" s="585"/>
      <c r="C1516" s="54"/>
      <c r="D1516" s="54"/>
      <c r="E1516" s="54"/>
      <c r="F1516" s="54"/>
      <c r="G1516" s="560"/>
      <c r="H1516" s="562"/>
      <c r="I1516" s="564"/>
    </row>
    <row r="1517" spans="1:9" ht="6.6" customHeight="1">
      <c r="A1517" s="579"/>
      <c r="B1517" s="584" t="str">
        <f t="shared" ref="B1517" si="202">B1481</f>
        <v>عملیات انجام گرفته در زیرزمین ZONE Y3</v>
      </c>
      <c r="C1517" s="53"/>
      <c r="D1517" s="53"/>
      <c r="E1517" s="54"/>
      <c r="F1517" s="53"/>
      <c r="G1517" s="559"/>
      <c r="H1517" s="561">
        <v>0</v>
      </c>
      <c r="I1517" s="563" t="s">
        <v>65</v>
      </c>
    </row>
    <row r="1518" spans="1:9" ht="6.6" customHeight="1">
      <c r="A1518" s="579"/>
      <c r="B1518" s="585"/>
      <c r="C1518" s="54"/>
      <c r="D1518" s="54"/>
      <c r="E1518" s="54"/>
      <c r="F1518" s="54"/>
      <c r="G1518" s="560"/>
      <c r="H1518" s="562"/>
      <c r="I1518" s="564"/>
    </row>
    <row r="1519" spans="1:9" ht="12" customHeight="1">
      <c r="A1519" s="580"/>
      <c r="B1519" s="565" t="s">
        <v>33</v>
      </c>
      <c r="C1519" s="566"/>
      <c r="D1519" s="566"/>
      <c r="E1519" s="567"/>
      <c r="F1519" s="299" t="str">
        <f>A1502</f>
        <v>****</v>
      </c>
      <c r="G1519" s="414">
        <f>SUM(G1503:G1518)</f>
        <v>471.8</v>
      </c>
      <c r="H1519" s="415">
        <v>0</v>
      </c>
      <c r="I1519" s="302" t="s">
        <v>143</v>
      </c>
    </row>
    <row r="1520" spans="1:9" ht="12" customHeight="1">
      <c r="A1520" s="586" t="s">
        <v>102</v>
      </c>
      <c r="B1520" s="587"/>
      <c r="C1520" s="587"/>
      <c r="D1520" s="587"/>
      <c r="E1520" s="587"/>
      <c r="F1520" s="587"/>
      <c r="G1520" s="587"/>
      <c r="H1520" s="587"/>
      <c r="I1520" s="588"/>
    </row>
    <row r="1521" spans="1:9" ht="9.6" customHeight="1">
      <c r="A1521" s="578">
        <v>230601</v>
      </c>
      <c r="B1521" s="581" t="str">
        <f>IF(A1521="","",VLOOKUP(A1521,'ابنیه 95'!$A:$E,2,FALSE))</f>
        <v>تهيه ونصب پلاستوفوم (يونوليت) با هر چگالي، سفيد يا الوان به ضخامت يك سانتي‌متر، باتمام وسايل نصب بدون زيرسازي.</v>
      </c>
      <c r="C1521" s="582"/>
      <c r="D1521" s="582"/>
      <c r="E1521" s="582"/>
      <c r="F1521" s="582"/>
      <c r="G1521" s="582"/>
      <c r="H1521" s="582"/>
      <c r="I1521" s="583"/>
    </row>
    <row r="1522" spans="1:9" ht="6" customHeight="1">
      <c r="A1522" s="607"/>
      <c r="B1522" s="584" t="str">
        <f>B1023</f>
        <v>فونداسیون  ZONE Z2</v>
      </c>
      <c r="C1522" s="53"/>
      <c r="D1522" s="53"/>
      <c r="E1522" s="54"/>
      <c r="F1522" s="53"/>
      <c r="G1522" s="603">
        <v>2.98</v>
      </c>
      <c r="H1522" s="605"/>
      <c r="I1522" s="563" t="str">
        <f>I1055</f>
        <v>صورتجلسه شماره: 4</v>
      </c>
    </row>
    <row r="1523" spans="1:9" ht="6" customHeight="1">
      <c r="A1523" s="607"/>
      <c r="B1523" s="585"/>
      <c r="C1523" s="53"/>
      <c r="D1523" s="53"/>
      <c r="E1523" s="54"/>
      <c r="F1523" s="53"/>
      <c r="G1523" s="604"/>
      <c r="H1523" s="606"/>
      <c r="I1523" s="564"/>
    </row>
    <row r="1524" spans="1:9" ht="6" customHeight="1">
      <c r="A1524" s="607"/>
      <c r="B1524" s="584" t="str">
        <f>B1025</f>
        <v>فونداسیون  ZONE Z3</v>
      </c>
      <c r="C1524" s="53"/>
      <c r="D1524" s="53"/>
      <c r="E1524" s="54"/>
      <c r="F1524" s="53"/>
      <c r="G1524" s="603">
        <v>6</v>
      </c>
      <c r="H1524" s="605"/>
      <c r="I1524" s="563" t="str">
        <f>I1057</f>
        <v>صورتجلسه شماره: 5</v>
      </c>
    </row>
    <row r="1525" spans="1:9" ht="6" customHeight="1">
      <c r="A1525" s="607"/>
      <c r="B1525" s="585"/>
      <c r="C1525" s="53"/>
      <c r="D1525" s="53"/>
      <c r="E1525" s="54"/>
      <c r="F1525" s="53"/>
      <c r="G1525" s="604"/>
      <c r="H1525" s="606"/>
      <c r="I1525" s="564"/>
    </row>
    <row r="1526" spans="1:9" ht="6" customHeight="1">
      <c r="A1526" s="607"/>
      <c r="B1526" s="584" t="str">
        <f>B1027</f>
        <v>فونداسیون  ZONE Z4</v>
      </c>
      <c r="C1526" s="53"/>
      <c r="D1526" s="53"/>
      <c r="E1526" s="54"/>
      <c r="F1526" s="53"/>
      <c r="G1526" s="603">
        <v>6</v>
      </c>
      <c r="H1526" s="605"/>
      <c r="I1526" s="563" t="str">
        <f>I1059</f>
        <v>صورتجلسه شماره: 6</v>
      </c>
    </row>
    <row r="1527" spans="1:9" ht="6" customHeight="1">
      <c r="A1527" s="607"/>
      <c r="B1527" s="585"/>
      <c r="C1527" s="53"/>
      <c r="D1527" s="53"/>
      <c r="E1527" s="54"/>
      <c r="F1527" s="53"/>
      <c r="G1527" s="604"/>
      <c r="H1527" s="606"/>
      <c r="I1527" s="564"/>
    </row>
    <row r="1528" spans="1:9" ht="6" customHeight="1">
      <c r="A1528" s="607"/>
      <c r="B1528" s="584" t="str">
        <f>B1029</f>
        <v>فونداسیون  ZONE Z5</v>
      </c>
      <c r="C1528" s="53"/>
      <c r="D1528" s="53"/>
      <c r="E1528" s="54"/>
      <c r="F1528" s="53"/>
      <c r="G1528" s="603">
        <v>6.54</v>
      </c>
      <c r="H1528" s="605"/>
      <c r="I1528" s="563" t="str">
        <f>I1061</f>
        <v>صورتجلسه شماره: 7</v>
      </c>
    </row>
    <row r="1529" spans="1:9" ht="6" customHeight="1">
      <c r="A1529" s="607"/>
      <c r="B1529" s="585"/>
      <c r="C1529" s="53"/>
      <c r="D1529" s="53"/>
      <c r="E1529" s="54"/>
      <c r="F1529" s="53"/>
      <c r="G1529" s="604"/>
      <c r="H1529" s="606"/>
      <c r="I1529" s="564"/>
    </row>
    <row r="1530" spans="1:9" ht="6" customHeight="1">
      <c r="A1530" s="607"/>
      <c r="B1530" s="584" t="str">
        <f>B1063</f>
        <v>فونداسیون  ZONE Y1</v>
      </c>
      <c r="C1530" s="53"/>
      <c r="D1530" s="53"/>
      <c r="E1530" s="54"/>
      <c r="F1530" s="53"/>
      <c r="G1530" s="603">
        <v>6</v>
      </c>
      <c r="H1530" s="605"/>
      <c r="I1530" s="563" t="str">
        <f>I1063</f>
        <v>صورتجلسه شماره: 8</v>
      </c>
    </row>
    <row r="1531" spans="1:9" ht="6" customHeight="1">
      <c r="A1531" s="607"/>
      <c r="B1531" s="585"/>
      <c r="C1531" s="53"/>
      <c r="D1531" s="53"/>
      <c r="E1531" s="54"/>
      <c r="F1531" s="53"/>
      <c r="G1531" s="604"/>
      <c r="H1531" s="606"/>
      <c r="I1531" s="564"/>
    </row>
    <row r="1532" spans="1:9" ht="6" customHeight="1">
      <c r="A1532" s="607"/>
      <c r="B1532" s="584" t="str">
        <f>B1065</f>
        <v>فونداسیون  ZONE Y2</v>
      </c>
      <c r="C1532" s="53"/>
      <c r="D1532" s="53"/>
      <c r="E1532" s="54"/>
      <c r="F1532" s="53"/>
      <c r="G1532" s="603">
        <v>7.04</v>
      </c>
      <c r="H1532" s="605"/>
      <c r="I1532" s="563" t="str">
        <f>I1065</f>
        <v>صورتجلسه شماره: 9</v>
      </c>
    </row>
    <row r="1533" spans="1:9" ht="6" customHeight="1">
      <c r="A1533" s="607"/>
      <c r="B1533" s="585"/>
      <c r="C1533" s="53"/>
      <c r="D1533" s="53"/>
      <c r="E1533" s="54"/>
      <c r="F1533" s="53"/>
      <c r="G1533" s="604"/>
      <c r="H1533" s="606"/>
      <c r="I1533" s="564"/>
    </row>
    <row r="1534" spans="1:9" ht="6" customHeight="1">
      <c r="A1534" s="607"/>
      <c r="B1534" s="584" t="str">
        <f>B1182</f>
        <v xml:space="preserve">سقف زیرزمین درZONE Z1 </v>
      </c>
      <c r="C1534" s="53"/>
      <c r="D1534" s="53"/>
      <c r="E1534" s="54"/>
      <c r="F1534" s="53"/>
      <c r="G1534" s="603">
        <v>3.5</v>
      </c>
      <c r="H1534" s="605"/>
      <c r="I1534" s="563" t="str">
        <f>I1182</f>
        <v>علی الحساب</v>
      </c>
    </row>
    <row r="1535" spans="1:9" ht="6" customHeight="1">
      <c r="A1535" s="607"/>
      <c r="B1535" s="585"/>
      <c r="C1535" s="53"/>
      <c r="D1535" s="53"/>
      <c r="E1535" s="54"/>
      <c r="F1535" s="53"/>
      <c r="G1535" s="604"/>
      <c r="H1535" s="606"/>
      <c r="I1535" s="564"/>
    </row>
    <row r="1536" spans="1:9" ht="6" customHeight="1">
      <c r="A1536" s="607"/>
      <c r="B1536" s="584" t="str">
        <f>B1184</f>
        <v>سقف زیرزمین درZONE Z2</v>
      </c>
      <c r="C1536" s="53"/>
      <c r="D1536" s="53"/>
      <c r="E1536" s="54"/>
      <c r="F1536" s="53"/>
      <c r="G1536" s="603">
        <v>3.5</v>
      </c>
      <c r="H1536" s="605"/>
      <c r="I1536" s="563" t="str">
        <f>I1184</f>
        <v>علی الحساب</v>
      </c>
    </row>
    <row r="1537" spans="1:9" ht="6" customHeight="1">
      <c r="A1537" s="607"/>
      <c r="B1537" s="585"/>
      <c r="C1537" s="53"/>
      <c r="D1537" s="53"/>
      <c r="E1537" s="54"/>
      <c r="F1537" s="53"/>
      <c r="G1537" s="604"/>
      <c r="H1537" s="606"/>
      <c r="I1537" s="564"/>
    </row>
    <row r="1538" spans="1:9" ht="6" customHeight="1">
      <c r="A1538" s="607"/>
      <c r="B1538" s="584" t="str">
        <f>B1186</f>
        <v>سقف زیرزمین درZONE Z3</v>
      </c>
      <c r="C1538" s="53"/>
      <c r="D1538" s="53"/>
      <c r="E1538" s="54"/>
      <c r="F1538" s="53"/>
      <c r="G1538" s="603">
        <v>3.5</v>
      </c>
      <c r="H1538" s="605"/>
      <c r="I1538" s="563" t="str">
        <f>I1186</f>
        <v>علی الحساب</v>
      </c>
    </row>
    <row r="1539" spans="1:9" ht="6" customHeight="1">
      <c r="A1539" s="607"/>
      <c r="B1539" s="585"/>
      <c r="C1539" s="53"/>
      <c r="D1539" s="53"/>
      <c r="E1539" s="54"/>
      <c r="F1539" s="53"/>
      <c r="G1539" s="604"/>
      <c r="H1539" s="606"/>
      <c r="I1539" s="564"/>
    </row>
    <row r="1540" spans="1:9" ht="6" customHeight="1">
      <c r="A1540" s="607"/>
      <c r="B1540" s="584" t="str">
        <f>B1188</f>
        <v>سقف زیرزمین درZONE Z4</v>
      </c>
      <c r="C1540" s="53"/>
      <c r="D1540" s="53"/>
      <c r="E1540" s="54"/>
      <c r="F1540" s="53"/>
      <c r="G1540" s="603">
        <v>3.5</v>
      </c>
      <c r="H1540" s="605"/>
      <c r="I1540" s="563" t="str">
        <f>I1188</f>
        <v>علی الحساب</v>
      </c>
    </row>
    <row r="1541" spans="1:9" ht="6" customHeight="1">
      <c r="A1541" s="607"/>
      <c r="B1541" s="585"/>
      <c r="C1541" s="53"/>
      <c r="D1541" s="53"/>
      <c r="E1541" s="54"/>
      <c r="F1541" s="53"/>
      <c r="G1541" s="604"/>
      <c r="H1541" s="606"/>
      <c r="I1541" s="564"/>
    </row>
    <row r="1542" spans="1:9" ht="6" customHeight="1">
      <c r="A1542" s="607"/>
      <c r="B1542" s="584" t="str">
        <f>B1190</f>
        <v>سقف زیرزمین درZONE Z5</v>
      </c>
      <c r="C1542" s="53"/>
      <c r="D1542" s="53"/>
      <c r="E1542" s="54"/>
      <c r="F1542" s="53"/>
      <c r="G1542" s="603">
        <v>3.5</v>
      </c>
      <c r="H1542" s="605"/>
      <c r="I1542" s="563" t="str">
        <f>I1190</f>
        <v>علی الحساب</v>
      </c>
    </row>
    <row r="1543" spans="1:9" ht="6" customHeight="1">
      <c r="A1543" s="607"/>
      <c r="B1543" s="585"/>
      <c r="C1543" s="53"/>
      <c r="D1543" s="53"/>
      <c r="E1543" s="54"/>
      <c r="F1543" s="53"/>
      <c r="G1543" s="604"/>
      <c r="H1543" s="606"/>
      <c r="I1543" s="564"/>
    </row>
    <row r="1544" spans="1:9" ht="6" customHeight="1">
      <c r="A1544" s="607"/>
      <c r="B1544" s="584" t="str">
        <f>B1194</f>
        <v>سقف زیرزمین درZONE Y2</v>
      </c>
      <c r="C1544" s="53"/>
      <c r="D1544" s="53"/>
      <c r="E1544" s="54"/>
      <c r="F1544" s="53"/>
      <c r="G1544" s="603">
        <v>3.51</v>
      </c>
      <c r="H1544" s="605"/>
      <c r="I1544" s="563" t="str">
        <f>I1194</f>
        <v>صورتجلسه شماره:13</v>
      </c>
    </row>
    <row r="1545" spans="1:9" ht="6" customHeight="1">
      <c r="A1545" s="607"/>
      <c r="B1545" s="585"/>
      <c r="C1545" s="53"/>
      <c r="D1545" s="53"/>
      <c r="E1545" s="54"/>
      <c r="F1545" s="53"/>
      <c r="G1545" s="604"/>
      <c r="H1545" s="606"/>
      <c r="I1545" s="564"/>
    </row>
    <row r="1546" spans="1:9" ht="6" customHeight="1">
      <c r="A1546" s="607"/>
      <c r="B1546" s="584" t="str">
        <f>B1196</f>
        <v>سقف زیرزمین درZONE Y3</v>
      </c>
      <c r="C1546" s="53"/>
      <c r="D1546" s="53"/>
      <c r="E1546" s="54"/>
      <c r="F1546" s="53"/>
      <c r="G1546" s="603">
        <v>3.5</v>
      </c>
      <c r="H1546" s="605"/>
      <c r="I1546" s="563" t="str">
        <f>I1196</f>
        <v>علی الحساب</v>
      </c>
    </row>
    <row r="1547" spans="1:9" ht="6" customHeight="1">
      <c r="A1547" s="607"/>
      <c r="B1547" s="585"/>
      <c r="C1547" s="53"/>
      <c r="D1547" s="53"/>
      <c r="E1547" s="54"/>
      <c r="F1547" s="53"/>
      <c r="G1547" s="604"/>
      <c r="H1547" s="606"/>
      <c r="I1547" s="564"/>
    </row>
    <row r="1548" spans="1:9" ht="6" customHeight="1">
      <c r="A1548" s="607"/>
      <c r="B1548" s="584" t="str">
        <f>B876</f>
        <v>عملیات انجام گرفته درتیرهای ZONE Z1</v>
      </c>
      <c r="C1548" s="53"/>
      <c r="D1548" s="53"/>
      <c r="E1548" s="54"/>
      <c r="F1548" s="53"/>
      <c r="G1548" s="603">
        <v>4</v>
      </c>
      <c r="H1548" s="605"/>
      <c r="I1548" s="589" t="str">
        <f>I876</f>
        <v>علی الحساب</v>
      </c>
    </row>
    <row r="1549" spans="1:9" ht="6" customHeight="1">
      <c r="A1549" s="607"/>
      <c r="B1549" s="585"/>
      <c r="C1549" s="53"/>
      <c r="D1549" s="53"/>
      <c r="E1549" s="54"/>
      <c r="F1549" s="53"/>
      <c r="G1549" s="604"/>
      <c r="H1549" s="606"/>
      <c r="I1549" s="590"/>
    </row>
    <row r="1550" spans="1:9" ht="6" customHeight="1">
      <c r="A1550" s="607"/>
      <c r="B1550" s="584" t="str">
        <f>B878</f>
        <v>عملیات انجام گرفته درتیرهای ZONE Z2</v>
      </c>
      <c r="C1550" s="53"/>
      <c r="D1550" s="53"/>
      <c r="E1550" s="54"/>
      <c r="F1550" s="53"/>
      <c r="G1550" s="603">
        <v>4</v>
      </c>
      <c r="H1550" s="605"/>
      <c r="I1550" s="589" t="str">
        <f>I878</f>
        <v>علی الحساب</v>
      </c>
    </row>
    <row r="1551" spans="1:9" ht="6" customHeight="1">
      <c r="A1551" s="607"/>
      <c r="B1551" s="585"/>
      <c r="C1551" s="53"/>
      <c r="D1551" s="53"/>
      <c r="E1551" s="54"/>
      <c r="F1551" s="53"/>
      <c r="G1551" s="604"/>
      <c r="H1551" s="606"/>
      <c r="I1551" s="590"/>
    </row>
    <row r="1552" spans="1:9" ht="6" customHeight="1">
      <c r="A1552" s="607"/>
      <c r="B1552" s="584" t="str">
        <f>B880</f>
        <v>عملیات انجام گرفته درتیرهای ZONE Z3</v>
      </c>
      <c r="C1552" s="53"/>
      <c r="D1552" s="53"/>
      <c r="E1552" s="54"/>
      <c r="F1552" s="53"/>
      <c r="G1552" s="603">
        <v>4</v>
      </c>
      <c r="H1552" s="605"/>
      <c r="I1552" s="589" t="str">
        <f>I880</f>
        <v>علی الحساب</v>
      </c>
    </row>
    <row r="1553" spans="1:9" ht="6" customHeight="1">
      <c r="A1553" s="607"/>
      <c r="B1553" s="585"/>
      <c r="C1553" s="53"/>
      <c r="D1553" s="53"/>
      <c r="E1553" s="54"/>
      <c r="F1553" s="53"/>
      <c r="G1553" s="604"/>
      <c r="H1553" s="606"/>
      <c r="I1553" s="590"/>
    </row>
    <row r="1554" spans="1:9" ht="6" customHeight="1">
      <c r="A1554" s="607"/>
      <c r="B1554" s="584" t="str">
        <f>B882</f>
        <v>عملیات انجام گرفته درتیرهای ZONE Z4</v>
      </c>
      <c r="C1554" s="53"/>
      <c r="D1554" s="53"/>
      <c r="E1554" s="54"/>
      <c r="F1554" s="53"/>
      <c r="G1554" s="603">
        <v>4</v>
      </c>
      <c r="H1554" s="605"/>
      <c r="I1554" s="589" t="str">
        <f>I882</f>
        <v>علی الحساب</v>
      </c>
    </row>
    <row r="1555" spans="1:9" ht="6" customHeight="1">
      <c r="A1555" s="607"/>
      <c r="B1555" s="585"/>
      <c r="C1555" s="53"/>
      <c r="D1555" s="53"/>
      <c r="E1555" s="54"/>
      <c r="F1555" s="53"/>
      <c r="G1555" s="604"/>
      <c r="H1555" s="606"/>
      <c r="I1555" s="590"/>
    </row>
    <row r="1556" spans="1:9" ht="6" customHeight="1">
      <c r="A1556" s="607"/>
      <c r="B1556" s="584" t="str">
        <f>B884</f>
        <v>عملیات انجام گرفته درتیرهای ZONE Z5</v>
      </c>
      <c r="C1556" s="53"/>
      <c r="D1556" s="53"/>
      <c r="E1556" s="54"/>
      <c r="F1556" s="53"/>
      <c r="G1556" s="603">
        <v>4</v>
      </c>
      <c r="H1556" s="605"/>
      <c r="I1556" s="589" t="str">
        <f>I884</f>
        <v>علی الحساب</v>
      </c>
    </row>
    <row r="1557" spans="1:9" ht="6" customHeight="1">
      <c r="A1557" s="607"/>
      <c r="B1557" s="585"/>
      <c r="C1557" s="53"/>
      <c r="D1557" s="53"/>
      <c r="E1557" s="54"/>
      <c r="F1557" s="53"/>
      <c r="G1557" s="604"/>
      <c r="H1557" s="606"/>
      <c r="I1557" s="590"/>
    </row>
    <row r="1558" spans="1:9" ht="6" customHeight="1">
      <c r="A1558" s="607"/>
      <c r="B1558" s="584" t="str">
        <f>B886</f>
        <v>عملیات انجام گرفته درتیرهای ZONE Y1</v>
      </c>
      <c r="C1558" s="53"/>
      <c r="D1558" s="53"/>
      <c r="E1558" s="54"/>
      <c r="F1558" s="53"/>
      <c r="G1558" s="603">
        <v>4</v>
      </c>
      <c r="H1558" s="605"/>
      <c r="I1558" s="589" t="str">
        <f>I886</f>
        <v>علی الحساب</v>
      </c>
    </row>
    <row r="1559" spans="1:9" ht="6" customHeight="1">
      <c r="A1559" s="607"/>
      <c r="B1559" s="585"/>
      <c r="C1559" s="53"/>
      <c r="D1559" s="53"/>
      <c r="E1559" s="54"/>
      <c r="F1559" s="53"/>
      <c r="G1559" s="604"/>
      <c r="H1559" s="606"/>
      <c r="I1559" s="590"/>
    </row>
    <row r="1560" spans="1:9" ht="6" customHeight="1">
      <c r="A1560" s="607"/>
      <c r="B1560" s="584" t="str">
        <f>B888</f>
        <v>عملیات انجام گرفته درتیرهای ZONE Y2</v>
      </c>
      <c r="C1560" s="53"/>
      <c r="D1560" s="53"/>
      <c r="E1560" s="54"/>
      <c r="F1560" s="53"/>
      <c r="G1560" s="603">
        <v>4</v>
      </c>
      <c r="H1560" s="605"/>
      <c r="I1560" s="589" t="str">
        <f>I888</f>
        <v>علی الحساب</v>
      </c>
    </row>
    <row r="1561" spans="1:9" ht="6" customHeight="1">
      <c r="A1561" s="607"/>
      <c r="B1561" s="585"/>
      <c r="C1561" s="53"/>
      <c r="D1561" s="53"/>
      <c r="E1561" s="54"/>
      <c r="F1561" s="53"/>
      <c r="G1561" s="604"/>
      <c r="H1561" s="606"/>
      <c r="I1561" s="590"/>
    </row>
    <row r="1562" spans="1:9" ht="6" customHeight="1">
      <c r="A1562" s="607"/>
      <c r="B1562" s="584" t="str">
        <f>B1198</f>
        <v>عملیات انجام گرفته در سقف دوم ZONE Z1</v>
      </c>
      <c r="C1562" s="53"/>
      <c r="D1562" s="53"/>
      <c r="E1562" s="54"/>
      <c r="F1562" s="53"/>
      <c r="G1562" s="603">
        <v>1.56</v>
      </c>
      <c r="H1562" s="605"/>
      <c r="I1562" s="589" t="str">
        <f>I1198</f>
        <v>علی الحساب</v>
      </c>
    </row>
    <row r="1563" spans="1:9" ht="6" customHeight="1">
      <c r="A1563" s="607"/>
      <c r="B1563" s="585"/>
      <c r="C1563" s="53"/>
      <c r="D1563" s="53"/>
      <c r="E1563" s="54"/>
      <c r="F1563" s="53"/>
      <c r="G1563" s="604"/>
      <c r="H1563" s="606"/>
      <c r="I1563" s="590"/>
    </row>
    <row r="1564" spans="1:9" ht="6" customHeight="1">
      <c r="A1564" s="607"/>
      <c r="B1564" s="584" t="str">
        <f>B1200</f>
        <v>عملیات انجام گرفته در سقف دوم ZONE Z2</v>
      </c>
      <c r="C1564" s="53"/>
      <c r="D1564" s="53"/>
      <c r="E1564" s="54"/>
      <c r="F1564" s="53"/>
      <c r="G1564" s="603">
        <v>8.31</v>
      </c>
      <c r="H1564" s="605"/>
      <c r="I1564" s="589" t="str">
        <f>I1200</f>
        <v>علی الحساب</v>
      </c>
    </row>
    <row r="1565" spans="1:9" ht="6" customHeight="1">
      <c r="A1565" s="607"/>
      <c r="B1565" s="585"/>
      <c r="C1565" s="53"/>
      <c r="D1565" s="53"/>
      <c r="E1565" s="54"/>
      <c r="F1565" s="53"/>
      <c r="G1565" s="604"/>
      <c r="H1565" s="606"/>
      <c r="I1565" s="590"/>
    </row>
    <row r="1566" spans="1:9" ht="6" customHeight="1">
      <c r="A1566" s="607"/>
      <c r="B1566" s="584" t="str">
        <f>B1202</f>
        <v>عملیات انجام گرفته در سقف دوم ZONE Z3</v>
      </c>
      <c r="C1566" s="53"/>
      <c r="D1566" s="53"/>
      <c r="E1566" s="54"/>
      <c r="F1566" s="53"/>
      <c r="G1566" s="603">
        <v>6.45</v>
      </c>
      <c r="H1566" s="605"/>
      <c r="I1566" s="589" t="str">
        <f>I1202</f>
        <v>علی الحساب</v>
      </c>
    </row>
    <row r="1567" spans="1:9" ht="6" customHeight="1">
      <c r="A1567" s="607"/>
      <c r="B1567" s="585"/>
      <c r="C1567" s="53"/>
      <c r="D1567" s="53"/>
      <c r="E1567" s="54"/>
      <c r="F1567" s="53"/>
      <c r="G1567" s="604"/>
      <c r="H1567" s="606"/>
      <c r="I1567" s="590"/>
    </row>
    <row r="1568" spans="1:9" ht="6" customHeight="1">
      <c r="A1568" s="607"/>
      <c r="B1568" s="584" t="str">
        <f>B1204</f>
        <v>عملیات انجام گرفته در سقف دوم ZONE Z4</v>
      </c>
      <c r="C1568" s="53"/>
      <c r="D1568" s="53"/>
      <c r="E1568" s="54"/>
      <c r="F1568" s="53"/>
      <c r="G1568" s="603">
        <v>4</v>
      </c>
      <c r="H1568" s="605"/>
      <c r="I1568" s="589" t="str">
        <f>I1204</f>
        <v>علی الحساب</v>
      </c>
    </row>
    <row r="1569" spans="1:9" ht="6" customHeight="1">
      <c r="A1569" s="607"/>
      <c r="B1569" s="585"/>
      <c r="C1569" s="53"/>
      <c r="D1569" s="53"/>
      <c r="E1569" s="54"/>
      <c r="F1569" s="53"/>
      <c r="G1569" s="604"/>
      <c r="H1569" s="606"/>
      <c r="I1569" s="590"/>
    </row>
    <row r="1570" spans="1:9" ht="6" customHeight="1">
      <c r="A1570" s="607"/>
      <c r="B1570" s="584" t="str">
        <f>B1206</f>
        <v>عملیات انجام گرفته در سقف دوم ZONE Z5</v>
      </c>
      <c r="C1570" s="53"/>
      <c r="D1570" s="53"/>
      <c r="E1570" s="54"/>
      <c r="F1570" s="53"/>
      <c r="G1570" s="603">
        <v>2.0499999999999998</v>
      </c>
      <c r="H1570" s="605"/>
      <c r="I1570" s="589" t="str">
        <f>I1206</f>
        <v>علی الحساب</v>
      </c>
    </row>
    <row r="1571" spans="1:9" ht="6" customHeight="1">
      <c r="A1571" s="607"/>
      <c r="B1571" s="585"/>
      <c r="C1571" s="53"/>
      <c r="D1571" s="53"/>
      <c r="E1571" s="54"/>
      <c r="F1571" s="53"/>
      <c r="G1571" s="604"/>
      <c r="H1571" s="606"/>
      <c r="I1571" s="590"/>
    </row>
    <row r="1572" spans="1:9" ht="6" customHeight="1">
      <c r="A1572" s="607"/>
      <c r="B1572" s="584" t="str">
        <f>B1208</f>
        <v>عملیات انجام گرفته در سقف دوم ZONE Y1</v>
      </c>
      <c r="C1572" s="53"/>
      <c r="D1572" s="53"/>
      <c r="E1572" s="54"/>
      <c r="F1572" s="53"/>
      <c r="G1572" s="603">
        <v>4</v>
      </c>
      <c r="H1572" s="605"/>
      <c r="I1572" s="589" t="str">
        <f>I1208</f>
        <v>علی الحساب</v>
      </c>
    </row>
    <row r="1573" spans="1:9" ht="6" customHeight="1">
      <c r="A1573" s="607"/>
      <c r="B1573" s="585"/>
      <c r="C1573" s="53"/>
      <c r="D1573" s="53"/>
      <c r="E1573" s="54"/>
      <c r="F1573" s="53"/>
      <c r="G1573" s="604"/>
      <c r="H1573" s="606"/>
      <c r="I1573" s="590"/>
    </row>
    <row r="1574" spans="1:9" ht="6" customHeight="1">
      <c r="A1574" s="607"/>
      <c r="B1574" s="584" t="str">
        <f>B1210</f>
        <v>عملیات انجام گرفته در سقف دوم ZONE Y2</v>
      </c>
      <c r="C1574" s="53"/>
      <c r="D1574" s="53"/>
      <c r="E1574" s="54"/>
      <c r="F1574" s="53"/>
      <c r="G1574" s="603">
        <v>4</v>
      </c>
      <c r="H1574" s="605"/>
      <c r="I1574" s="589" t="str">
        <f>I1210</f>
        <v>علی الحساب</v>
      </c>
    </row>
    <row r="1575" spans="1:9" ht="6" customHeight="1">
      <c r="A1575" s="607"/>
      <c r="B1575" s="585"/>
      <c r="C1575" s="53"/>
      <c r="D1575" s="53"/>
      <c r="E1575" s="54"/>
      <c r="F1575" s="53"/>
      <c r="G1575" s="604"/>
      <c r="H1575" s="606"/>
      <c r="I1575" s="590"/>
    </row>
    <row r="1576" spans="1:9" ht="6" customHeight="1">
      <c r="A1576" s="607"/>
      <c r="B1576" s="584" t="str">
        <f>B1212</f>
        <v>عملیات انجام گرفته در سقف دوم ZONE Y3</v>
      </c>
      <c r="C1576" s="53"/>
      <c r="D1576" s="53"/>
      <c r="E1576" s="54"/>
      <c r="F1576" s="53"/>
      <c r="G1576" s="603">
        <v>4</v>
      </c>
      <c r="H1576" s="605"/>
      <c r="I1576" s="589" t="str">
        <f>I1212</f>
        <v>علی الحساب</v>
      </c>
    </row>
    <row r="1577" spans="1:9" ht="6" customHeight="1">
      <c r="A1577" s="607"/>
      <c r="B1577" s="585"/>
      <c r="C1577" s="53"/>
      <c r="D1577" s="53"/>
      <c r="E1577" s="54"/>
      <c r="F1577" s="53"/>
      <c r="G1577" s="604"/>
      <c r="H1577" s="606"/>
      <c r="I1577" s="590"/>
    </row>
    <row r="1578" spans="1:9" ht="9.6" customHeight="1">
      <c r="A1578" s="580"/>
      <c r="B1578" s="565" t="s">
        <v>33</v>
      </c>
      <c r="C1578" s="566"/>
      <c r="D1578" s="566"/>
      <c r="E1578" s="567"/>
      <c r="F1578" s="299">
        <f>A1521</f>
        <v>230601</v>
      </c>
      <c r="G1578" s="300">
        <f>SUM(G1522:G1577)</f>
        <v>121.44</v>
      </c>
      <c r="H1578" s="301">
        <f>SUM(H1522:H1537)</f>
        <v>0</v>
      </c>
      <c r="I1578" s="302" t="str">
        <f>IF(F1578="","",VLOOKUP(F1578,'ابنیه 95'!$A:$E,3,FALSE))</f>
        <v>مترمربع</v>
      </c>
    </row>
    <row r="1579" spans="1:9" ht="12" customHeight="1">
      <c r="A1579" s="578">
        <v>230602</v>
      </c>
      <c r="B1579" s="581" t="str">
        <f>IF(A1579="","",VLOOKUP(A1579,'ابنیه 95'!$A:$E,2,FALSE))</f>
        <v>اضافه بها به رديف 230601 به ازاي هر سانتي‌متر كه به ضخامت يك سانتي‌متر اضافه شود، كسر سانتي‌متر به تناسب محاسبه مي شود.</v>
      </c>
      <c r="C1579" s="582"/>
      <c r="D1579" s="582"/>
      <c r="E1579" s="582"/>
      <c r="F1579" s="582"/>
      <c r="G1579" s="582"/>
      <c r="H1579" s="582"/>
      <c r="I1579" s="583"/>
    </row>
    <row r="1580" spans="1:9" ht="12" customHeight="1">
      <c r="A1580" s="607"/>
      <c r="B1580" s="584" t="s">
        <v>142</v>
      </c>
      <c r="C1580" s="53">
        <v>9</v>
      </c>
      <c r="D1580" s="53"/>
      <c r="E1580" s="54"/>
      <c r="F1580" s="53">
        <f>G1578</f>
        <v>121.44</v>
      </c>
      <c r="G1580" s="559">
        <f>C1580*F1580</f>
        <v>1092.96</v>
      </c>
      <c r="H1580" s="561"/>
      <c r="I1580" s="563" t="s">
        <v>65</v>
      </c>
    </row>
    <row r="1581" spans="1:9" ht="12" customHeight="1">
      <c r="A1581" s="607"/>
      <c r="B1581" s="585"/>
      <c r="C1581" s="54">
        <v>0</v>
      </c>
      <c r="D1581" s="54"/>
      <c r="E1581" s="54"/>
      <c r="F1581" s="54"/>
      <c r="G1581" s="560"/>
      <c r="H1581" s="562"/>
      <c r="I1581" s="564"/>
    </row>
    <row r="1582" spans="1:9" ht="12" customHeight="1">
      <c r="A1582" s="580"/>
      <c r="B1582" s="565" t="s">
        <v>33</v>
      </c>
      <c r="C1582" s="566"/>
      <c r="D1582" s="566"/>
      <c r="E1582" s="567"/>
      <c r="F1582" s="299">
        <f>A1579</f>
        <v>230602</v>
      </c>
      <c r="G1582" s="300">
        <f>SUM(G1580:G1581)</f>
        <v>1092.96</v>
      </c>
      <c r="H1582" s="301">
        <f>SUM(H1580:H1581)</f>
        <v>0</v>
      </c>
      <c r="I1582" s="302" t="str">
        <f>IF(F1582="","",VLOOKUP(F1582,'ابنیه 95'!$A:$E,3,FALSE))</f>
        <v>مترمربع</v>
      </c>
    </row>
    <row r="1583" spans="1:9" ht="12" customHeight="1">
      <c r="A1583" s="586" t="s">
        <v>116</v>
      </c>
      <c r="B1583" s="587"/>
      <c r="C1583" s="587"/>
      <c r="D1583" s="587"/>
      <c r="E1583" s="587"/>
      <c r="F1583" s="587"/>
      <c r="G1583" s="587"/>
      <c r="H1583" s="587"/>
      <c r="I1583" s="588"/>
    </row>
    <row r="1584" spans="1:9" ht="12" customHeight="1">
      <c r="A1584" s="578">
        <v>280101</v>
      </c>
      <c r="B1584" s="617" t="str">
        <f>IF(A1584="","",VLOOKUP(A1584,'ابنیه 95'!$A:$E,2,FALSE))</f>
        <v>حمل آهن آلات و سيمان پاكتي، نسبت به مازاد بر30 كيلومتر تا فاصله 75 كيلومتر.</v>
      </c>
      <c r="C1584" s="618"/>
      <c r="D1584" s="618"/>
      <c r="E1584" s="618"/>
      <c r="F1584" s="618"/>
      <c r="G1584" s="618"/>
      <c r="H1584" s="618"/>
      <c r="I1584" s="619"/>
    </row>
    <row r="1585" spans="1:9" ht="12" customHeight="1">
      <c r="A1585" s="579"/>
      <c r="B1585" s="584" t="s">
        <v>195</v>
      </c>
      <c r="C1585" s="53">
        <v>45</v>
      </c>
      <c r="D1585" s="53">
        <v>1.05</v>
      </c>
      <c r="E1585" s="234">
        <v>1000</v>
      </c>
      <c r="F1585" s="233">
        <f>G387</f>
        <v>15719.304000000004</v>
      </c>
      <c r="G1585" s="559">
        <f t="shared" ref="G1585" si="203">(F1585/E1585)*D1585*C1585</f>
        <v>742.73711400000025</v>
      </c>
      <c r="H1585" s="561">
        <v>0</v>
      </c>
      <c r="I1585" s="601"/>
    </row>
    <row r="1586" spans="1:9" ht="12" customHeight="1">
      <c r="A1586" s="579"/>
      <c r="B1586" s="585"/>
      <c r="C1586" s="54"/>
      <c r="D1586" s="54"/>
      <c r="E1586" s="54"/>
      <c r="F1586" s="54"/>
      <c r="G1586" s="560"/>
      <c r="H1586" s="562"/>
      <c r="I1586" s="602"/>
    </row>
    <row r="1587" spans="1:9" ht="12" customHeight="1">
      <c r="A1587" s="579"/>
      <c r="B1587" s="584" t="s">
        <v>192</v>
      </c>
      <c r="C1587" s="53">
        <v>45</v>
      </c>
      <c r="D1587" s="53">
        <v>1.05</v>
      </c>
      <c r="E1587" s="234">
        <v>1000</v>
      </c>
      <c r="F1587" s="233">
        <f>G485</f>
        <v>27682.645000000008</v>
      </c>
      <c r="G1587" s="559">
        <f>(F1587/E1587)*D1587*C1587</f>
        <v>1308.0049762500005</v>
      </c>
      <c r="H1587" s="561">
        <v>0</v>
      </c>
      <c r="I1587" s="601"/>
    </row>
    <row r="1588" spans="1:9" ht="12" customHeight="1">
      <c r="A1588" s="579"/>
      <c r="B1588" s="585"/>
      <c r="C1588" s="54"/>
      <c r="D1588" s="54"/>
      <c r="E1588" s="54"/>
      <c r="F1588" s="54"/>
      <c r="G1588" s="560"/>
      <c r="H1588" s="562"/>
      <c r="I1588" s="602"/>
    </row>
    <row r="1589" spans="1:9" ht="12" customHeight="1">
      <c r="A1589" s="579"/>
      <c r="B1589" s="584" t="s">
        <v>196</v>
      </c>
      <c r="C1589" s="53">
        <v>45</v>
      </c>
      <c r="D1589" s="53">
        <v>1.05</v>
      </c>
      <c r="E1589" s="234">
        <v>1000</v>
      </c>
      <c r="F1589" s="233">
        <f>G551</f>
        <v>29913.33600000001</v>
      </c>
      <c r="G1589" s="559">
        <f t="shared" ref="G1589" si="204">(F1589/E1589)*D1589*C1589</f>
        <v>1413.4051260000006</v>
      </c>
      <c r="H1589" s="561">
        <v>0</v>
      </c>
      <c r="I1589" s="601"/>
    </row>
    <row r="1590" spans="1:9" ht="12" customHeight="1">
      <c r="A1590" s="579"/>
      <c r="B1590" s="585"/>
      <c r="C1590" s="54"/>
      <c r="D1590" s="54"/>
      <c r="E1590" s="54"/>
      <c r="F1590" s="54"/>
      <c r="G1590" s="560"/>
      <c r="H1590" s="562"/>
      <c r="I1590" s="602"/>
    </row>
    <row r="1591" spans="1:9" ht="12" customHeight="1">
      <c r="A1591" s="579"/>
      <c r="B1591" s="584" t="s">
        <v>193</v>
      </c>
      <c r="C1591" s="53">
        <v>45</v>
      </c>
      <c r="D1591" s="53">
        <v>1.05</v>
      </c>
      <c r="E1591" s="234">
        <v>1000</v>
      </c>
      <c r="F1591" s="289">
        <f>G649</f>
        <v>238200.44900000002</v>
      </c>
      <c r="G1591" s="559">
        <f>(F1591/E1591)*D1591*C1591</f>
        <v>11254.971215250001</v>
      </c>
      <c r="H1591" s="561">
        <v>0</v>
      </c>
      <c r="I1591" s="601"/>
    </row>
    <row r="1592" spans="1:9" ht="12" customHeight="1">
      <c r="A1592" s="579"/>
      <c r="B1592" s="585"/>
      <c r="C1592" s="54"/>
      <c r="D1592" s="54"/>
      <c r="E1592" s="54"/>
      <c r="F1592" s="54"/>
      <c r="G1592" s="560"/>
      <c r="H1592" s="562"/>
      <c r="I1592" s="602"/>
    </row>
    <row r="1593" spans="1:9" ht="12" customHeight="1">
      <c r="A1593" s="579"/>
      <c r="B1593" s="584" t="s">
        <v>194</v>
      </c>
      <c r="C1593" s="53">
        <v>45</v>
      </c>
      <c r="D1593" s="53">
        <v>1.05</v>
      </c>
      <c r="E1593" s="234">
        <v>1000</v>
      </c>
      <c r="F1593" s="233">
        <f>G715</f>
        <v>56540.042000000009</v>
      </c>
      <c r="G1593" s="559">
        <f>(F1593/E1593)*D1593*C1593</f>
        <v>2671.5169845000005</v>
      </c>
      <c r="H1593" s="561">
        <v>0</v>
      </c>
      <c r="I1593" s="601"/>
    </row>
    <row r="1594" spans="1:9" ht="12" customHeight="1">
      <c r="A1594" s="579"/>
      <c r="B1594" s="585"/>
      <c r="C1594" s="54"/>
      <c r="D1594" s="54"/>
      <c r="E1594" s="54"/>
      <c r="F1594" s="54"/>
      <c r="G1594" s="560"/>
      <c r="H1594" s="562"/>
      <c r="I1594" s="602"/>
    </row>
    <row r="1595" spans="1:9" ht="12" customHeight="1">
      <c r="A1595" s="607"/>
      <c r="B1595" s="584" t="s">
        <v>197</v>
      </c>
      <c r="C1595" s="53">
        <v>45</v>
      </c>
      <c r="D1595" s="53">
        <v>1.05</v>
      </c>
      <c r="E1595" s="234">
        <v>1000</v>
      </c>
      <c r="F1595" s="235">
        <f>G1671</f>
        <v>0</v>
      </c>
      <c r="G1595" s="559">
        <f t="shared" ref="G1595" si="205">(F1595/E1595)*D1595*C1595</f>
        <v>0</v>
      </c>
      <c r="H1595" s="561">
        <v>0</v>
      </c>
      <c r="I1595" s="601"/>
    </row>
    <row r="1596" spans="1:9" ht="12" customHeight="1">
      <c r="A1596" s="607"/>
      <c r="B1596" s="585"/>
      <c r="C1596" s="54"/>
      <c r="D1596" s="54"/>
      <c r="E1596" s="54"/>
      <c r="F1596" s="54"/>
      <c r="G1596" s="560"/>
      <c r="H1596" s="562"/>
      <c r="I1596" s="602"/>
    </row>
    <row r="1597" spans="1:9" ht="12" customHeight="1">
      <c r="A1597" s="607"/>
      <c r="B1597" s="584" t="s">
        <v>198</v>
      </c>
      <c r="C1597" s="53">
        <v>45</v>
      </c>
      <c r="D1597" s="53">
        <v>1.06</v>
      </c>
      <c r="E1597" s="234">
        <v>150</v>
      </c>
      <c r="F1597" s="223">
        <f>(G$772)/1000</f>
        <v>9.1260000000000008E-2</v>
      </c>
      <c r="G1597" s="559">
        <f>F1597*E1597*D1597*C1597</f>
        <v>652.96530000000018</v>
      </c>
      <c r="H1597" s="561">
        <v>0</v>
      </c>
      <c r="I1597" s="601"/>
    </row>
    <row r="1598" spans="1:9" ht="12" customHeight="1">
      <c r="A1598" s="607"/>
      <c r="B1598" s="585"/>
      <c r="C1598" s="54"/>
      <c r="D1598" s="54"/>
      <c r="E1598" s="54"/>
      <c r="F1598" s="54"/>
      <c r="G1598" s="560"/>
      <c r="H1598" s="562"/>
      <c r="I1598" s="602"/>
    </row>
    <row r="1599" spans="1:9" ht="12" customHeight="1">
      <c r="A1599" s="607"/>
      <c r="B1599" s="584" t="s">
        <v>199</v>
      </c>
      <c r="C1599" s="53">
        <v>45</v>
      </c>
      <c r="D1599" s="53">
        <v>1.06</v>
      </c>
      <c r="E1599" s="234">
        <v>300</v>
      </c>
      <c r="F1599" s="223">
        <f>(G$824)/1000</f>
        <v>0.48043999999999992</v>
      </c>
      <c r="G1599" s="559">
        <f t="shared" ref="G1599" si="206">F1599*E1599*D1599*C1599</f>
        <v>6875.0963999999985</v>
      </c>
      <c r="H1599" s="561">
        <v>0</v>
      </c>
      <c r="I1599" s="601"/>
    </row>
    <row r="1600" spans="1:9" ht="12" customHeight="1">
      <c r="A1600" s="607"/>
      <c r="B1600" s="585"/>
      <c r="C1600" s="54"/>
      <c r="D1600" s="54"/>
      <c r="E1600" s="54"/>
      <c r="F1600" s="54"/>
      <c r="G1600" s="560"/>
      <c r="H1600" s="562"/>
      <c r="I1600" s="602"/>
    </row>
    <row r="1601" spans="1:9" ht="12" customHeight="1">
      <c r="A1601" s="607"/>
      <c r="B1601" s="584" t="s">
        <v>200</v>
      </c>
      <c r="C1601" s="53">
        <v>45</v>
      </c>
      <c r="D1601" s="53">
        <v>1.06</v>
      </c>
      <c r="E1601" s="234">
        <v>350</v>
      </c>
      <c r="F1601" s="223">
        <f>(G$906)/1000</f>
        <v>0.66871999999999987</v>
      </c>
      <c r="G1601" s="559">
        <f t="shared" ref="G1601" si="207">F1601*E1601*D1601*C1601</f>
        <v>11164.2804</v>
      </c>
      <c r="H1601" s="561">
        <v>0</v>
      </c>
      <c r="I1601" s="601"/>
    </row>
    <row r="1602" spans="1:9" ht="12" customHeight="1">
      <c r="A1602" s="607"/>
      <c r="B1602" s="585"/>
      <c r="C1602" s="54"/>
      <c r="D1602" s="54"/>
      <c r="E1602" s="54"/>
      <c r="F1602" s="54"/>
      <c r="G1602" s="560"/>
      <c r="H1602" s="562"/>
      <c r="I1602" s="602"/>
    </row>
    <row r="1603" spans="1:9" ht="12" customHeight="1">
      <c r="A1603" s="607"/>
      <c r="B1603" s="584" t="s">
        <v>201</v>
      </c>
      <c r="C1603" s="53">
        <v>45</v>
      </c>
      <c r="D1603" s="53">
        <v>1.06</v>
      </c>
      <c r="E1603" s="234">
        <v>770</v>
      </c>
      <c r="F1603" s="223">
        <f>(G$1180*0.35)/1000</f>
        <v>1.1876864999999999</v>
      </c>
      <c r="G1603" s="559">
        <f t="shared" ref="G1603" si="208">F1603*E1603*D1603*C1603</f>
        <v>43622.537458499995</v>
      </c>
      <c r="H1603" s="561">
        <v>0</v>
      </c>
      <c r="I1603" s="601"/>
    </row>
    <row r="1604" spans="1:9" ht="12" customHeight="1">
      <c r="A1604" s="607"/>
      <c r="B1604" s="585"/>
      <c r="C1604" s="54"/>
      <c r="D1604" s="54"/>
      <c r="E1604" s="54"/>
      <c r="F1604" s="54"/>
      <c r="G1604" s="560"/>
      <c r="H1604" s="562"/>
      <c r="I1604" s="602"/>
    </row>
    <row r="1605" spans="1:9" ht="12" customHeight="1">
      <c r="A1605" s="607"/>
      <c r="B1605" s="584" t="s">
        <v>202</v>
      </c>
      <c r="C1605" s="53">
        <v>45</v>
      </c>
      <c r="D1605" s="53">
        <v>1.06</v>
      </c>
      <c r="E1605" s="234">
        <v>200</v>
      </c>
      <c r="F1605" s="223">
        <f>(G$1235*0.22)/1000</f>
        <v>2.1960400000000001E-2</v>
      </c>
      <c r="G1605" s="559">
        <f t="shared" ref="G1605" si="209">F1605*E1605*D1605*C1605</f>
        <v>209.502216</v>
      </c>
      <c r="H1605" s="561">
        <v>0</v>
      </c>
      <c r="I1605" s="601"/>
    </row>
    <row r="1606" spans="1:9" ht="12" customHeight="1">
      <c r="A1606" s="607"/>
      <c r="B1606" s="585"/>
      <c r="C1606" s="54"/>
      <c r="D1606" s="54"/>
      <c r="E1606" s="54"/>
      <c r="F1606" s="54"/>
      <c r="G1606" s="560"/>
      <c r="H1606" s="562"/>
      <c r="I1606" s="602"/>
    </row>
    <row r="1607" spans="1:9" ht="12" customHeight="1">
      <c r="A1607" s="607"/>
      <c r="B1607" s="584" t="s">
        <v>203</v>
      </c>
      <c r="C1607" s="53">
        <v>45</v>
      </c>
      <c r="D1607" s="53">
        <v>1.06</v>
      </c>
      <c r="E1607" s="234">
        <v>200</v>
      </c>
      <c r="F1607" s="223">
        <f>(G$1269*0.1)/1000</f>
        <v>0.27202699999999996</v>
      </c>
      <c r="G1607" s="559">
        <f t="shared" ref="G1607" si="210">F1607*E1607*D1607*C1607</f>
        <v>2595.1375799999996</v>
      </c>
      <c r="H1607" s="561">
        <v>0</v>
      </c>
      <c r="I1607" s="601"/>
    </row>
    <row r="1608" spans="1:9" ht="12" customHeight="1">
      <c r="A1608" s="607"/>
      <c r="B1608" s="585"/>
      <c r="C1608" s="54"/>
      <c r="D1608" s="54"/>
      <c r="E1608" s="54"/>
      <c r="F1608" s="54"/>
      <c r="G1608" s="560"/>
      <c r="H1608" s="562"/>
      <c r="I1608" s="602"/>
    </row>
    <row r="1609" spans="1:9" ht="12" customHeight="1">
      <c r="A1609" s="607"/>
      <c r="B1609" s="584" t="s">
        <v>204</v>
      </c>
      <c r="C1609" s="53">
        <v>45</v>
      </c>
      <c r="D1609" s="53">
        <v>1.06</v>
      </c>
      <c r="E1609" s="234">
        <v>285</v>
      </c>
      <c r="F1609" s="223">
        <f>(G1390*0.03)/1000</f>
        <v>0.20168177999999998</v>
      </c>
      <c r="G1609" s="559">
        <f t="shared" ref="G1609" si="211">F1609*E1609*D1609*C1609</f>
        <v>2741.7629582099999</v>
      </c>
      <c r="H1609" s="561">
        <v>0</v>
      </c>
      <c r="I1609" s="601"/>
    </row>
    <row r="1610" spans="1:9" ht="12" customHeight="1">
      <c r="A1610" s="607"/>
      <c r="B1610" s="585"/>
      <c r="C1610" s="54"/>
      <c r="D1610" s="54"/>
      <c r="E1610" s="54"/>
      <c r="F1610" s="54"/>
      <c r="G1610" s="560"/>
      <c r="H1610" s="562"/>
      <c r="I1610" s="602"/>
    </row>
    <row r="1611" spans="1:9" ht="12" customHeight="1">
      <c r="A1611" s="580"/>
      <c r="B1611" s="565" t="s">
        <v>33</v>
      </c>
      <c r="C1611" s="566"/>
      <c r="D1611" s="566"/>
      <c r="E1611" s="567"/>
      <c r="F1611" s="299">
        <f>A1584</f>
        <v>280101</v>
      </c>
      <c r="G1611" s="300">
        <f>SUM(G1585:G1610)</f>
        <v>85251.917728709988</v>
      </c>
      <c r="H1611" s="301">
        <f>SUM(H1609:H1610)</f>
        <v>0</v>
      </c>
      <c r="I1611" s="302" t="str">
        <f>IF(F1611="","",VLOOKUP(F1611,'ابنیه 95'!$A:$E,3,FALSE))</f>
        <v>تن -  کيلومتر</v>
      </c>
    </row>
    <row r="1612" spans="1:9" ht="12" customHeight="1">
      <c r="A1612" s="578">
        <v>280102</v>
      </c>
      <c r="B1612" s="617" t="str">
        <f>IF(A1612="","",VLOOKUP(A1612,'ابنیه 95'!$A:$E,2,FALSE))</f>
        <v>حمل آهن آلات و سيمان پاكتي، نسبت به مازاد بر 75 كيلومتر تا فاصله 150 كيلومتر.</v>
      </c>
      <c r="C1612" s="618"/>
      <c r="D1612" s="618"/>
      <c r="E1612" s="618"/>
      <c r="F1612" s="618"/>
      <c r="G1612" s="618"/>
      <c r="H1612" s="618"/>
      <c r="I1612" s="619"/>
    </row>
    <row r="1613" spans="1:9" ht="9.9" customHeight="1">
      <c r="A1613" s="607"/>
      <c r="B1613" s="584" t="s">
        <v>162</v>
      </c>
      <c r="C1613" s="53">
        <v>75</v>
      </c>
      <c r="D1613" s="53">
        <v>1.05</v>
      </c>
      <c r="E1613" s="234">
        <v>1000</v>
      </c>
      <c r="F1613" s="235">
        <f>F1585+F1587+F1589+F1591+F1593+F1595</f>
        <v>368055.77600000007</v>
      </c>
      <c r="G1613" s="559">
        <f>(F1613/E1613)*D1613*C1613</f>
        <v>28984.392360000005</v>
      </c>
      <c r="H1613" s="561">
        <v>0</v>
      </c>
      <c r="I1613" s="601"/>
    </row>
    <row r="1614" spans="1:9" ht="9.9" customHeight="1">
      <c r="A1614" s="607"/>
      <c r="B1614" s="585"/>
      <c r="C1614" s="54"/>
      <c r="D1614" s="54"/>
      <c r="E1614" s="54"/>
      <c r="F1614" s="54"/>
      <c r="G1614" s="560"/>
      <c r="H1614" s="562"/>
      <c r="I1614" s="602"/>
    </row>
    <row r="1615" spans="1:9" ht="9.9" customHeight="1">
      <c r="A1615" s="607"/>
      <c r="B1615" s="584" t="s">
        <v>198</v>
      </c>
      <c r="C1615" s="53">
        <v>75</v>
      </c>
      <c r="D1615" s="53">
        <v>1.06</v>
      </c>
      <c r="E1615" s="234">
        <v>150</v>
      </c>
      <c r="F1615" s="223">
        <f>(G$772)/1000</f>
        <v>9.1260000000000008E-2</v>
      </c>
      <c r="G1615" s="559">
        <f>F1615*E1615*D1615*C1615</f>
        <v>1088.2755000000002</v>
      </c>
      <c r="H1615" s="561">
        <v>0</v>
      </c>
      <c r="I1615" s="601"/>
    </row>
    <row r="1616" spans="1:9" ht="9.9" customHeight="1">
      <c r="A1616" s="607"/>
      <c r="B1616" s="585"/>
      <c r="C1616" s="54"/>
      <c r="D1616" s="54"/>
      <c r="E1616" s="54"/>
      <c r="F1616" s="54"/>
      <c r="G1616" s="560"/>
      <c r="H1616" s="562"/>
      <c r="I1616" s="602"/>
    </row>
    <row r="1617" spans="1:9" ht="9.9" customHeight="1">
      <c r="A1617" s="607"/>
      <c r="B1617" s="584" t="s">
        <v>199</v>
      </c>
      <c r="C1617" s="53">
        <v>75</v>
      </c>
      <c r="D1617" s="53">
        <v>1.06</v>
      </c>
      <c r="E1617" s="234">
        <v>300</v>
      </c>
      <c r="F1617" s="223">
        <f>(G$824)/1000</f>
        <v>0.48043999999999992</v>
      </c>
      <c r="G1617" s="559">
        <f t="shared" ref="G1617" si="212">F1617*E1617*D1617*C1617</f>
        <v>11458.493999999999</v>
      </c>
      <c r="H1617" s="561">
        <v>0</v>
      </c>
      <c r="I1617" s="601"/>
    </row>
    <row r="1618" spans="1:9" ht="9.9" customHeight="1">
      <c r="A1618" s="607"/>
      <c r="B1618" s="585"/>
      <c r="C1618" s="54"/>
      <c r="D1618" s="54"/>
      <c r="E1618" s="54"/>
      <c r="F1618" s="54"/>
      <c r="G1618" s="560"/>
      <c r="H1618" s="562"/>
      <c r="I1618" s="602"/>
    </row>
    <row r="1619" spans="1:9" ht="9.9" customHeight="1">
      <c r="A1619" s="607"/>
      <c r="B1619" s="584" t="s">
        <v>200</v>
      </c>
      <c r="C1619" s="53">
        <f t="shared" ref="C1619" si="213">C1617</f>
        <v>75</v>
      </c>
      <c r="D1619" s="53">
        <v>1.06</v>
      </c>
      <c r="E1619" s="234">
        <v>350</v>
      </c>
      <c r="F1619" s="223">
        <f>(G$906)/1000</f>
        <v>0.66871999999999987</v>
      </c>
      <c r="G1619" s="559">
        <f t="shared" ref="G1619" si="214">F1619*E1619*D1619*C1619</f>
        <v>18607.133999999998</v>
      </c>
      <c r="H1619" s="561">
        <v>0</v>
      </c>
      <c r="I1619" s="601"/>
    </row>
    <row r="1620" spans="1:9" ht="9.9" customHeight="1">
      <c r="A1620" s="607"/>
      <c r="B1620" s="585"/>
      <c r="C1620" s="54"/>
      <c r="D1620" s="54"/>
      <c r="E1620" s="54"/>
      <c r="F1620" s="54"/>
      <c r="G1620" s="560"/>
      <c r="H1620" s="562"/>
      <c r="I1620" s="602"/>
    </row>
    <row r="1621" spans="1:9" ht="9.9" customHeight="1">
      <c r="A1621" s="607"/>
      <c r="B1621" s="584" t="s">
        <v>201</v>
      </c>
      <c r="C1621" s="53">
        <f t="shared" ref="C1621" si="215">C1619</f>
        <v>75</v>
      </c>
      <c r="D1621" s="53">
        <v>1.06</v>
      </c>
      <c r="E1621" s="234">
        <v>770</v>
      </c>
      <c r="F1621" s="223">
        <f>(G$1180*0.35)/1000</f>
        <v>1.1876864999999999</v>
      </c>
      <c r="G1621" s="559">
        <f t="shared" ref="G1621" si="216">F1621*E1621*D1621*C1621</f>
        <v>72704.229097499992</v>
      </c>
      <c r="H1621" s="561">
        <v>0</v>
      </c>
      <c r="I1621" s="601"/>
    </row>
    <row r="1622" spans="1:9" ht="9.9" customHeight="1">
      <c r="A1622" s="607"/>
      <c r="B1622" s="585"/>
      <c r="C1622" s="54"/>
      <c r="D1622" s="54"/>
      <c r="E1622" s="54"/>
      <c r="F1622" s="54"/>
      <c r="G1622" s="560"/>
      <c r="H1622" s="562"/>
      <c r="I1622" s="602"/>
    </row>
    <row r="1623" spans="1:9" ht="9.9" customHeight="1">
      <c r="A1623" s="607"/>
      <c r="B1623" s="584" t="s">
        <v>202</v>
      </c>
      <c r="C1623" s="53">
        <v>75</v>
      </c>
      <c r="D1623" s="53">
        <v>1.06</v>
      </c>
      <c r="E1623" s="234">
        <v>200</v>
      </c>
      <c r="F1623" s="223">
        <f>(G$1235*0.22)/1000</f>
        <v>2.1960400000000001E-2</v>
      </c>
      <c r="G1623" s="559">
        <f t="shared" ref="G1623" si="217">F1623*E1623*D1623*C1623</f>
        <v>349.17036000000002</v>
      </c>
      <c r="H1623" s="561">
        <v>0</v>
      </c>
      <c r="I1623" s="601"/>
    </row>
    <row r="1624" spans="1:9" ht="9.9" customHeight="1">
      <c r="A1624" s="607"/>
      <c r="B1624" s="585"/>
      <c r="C1624" s="54"/>
      <c r="D1624" s="54"/>
      <c r="E1624" s="54"/>
      <c r="F1624" s="54"/>
      <c r="G1624" s="560"/>
      <c r="H1624" s="562"/>
      <c r="I1624" s="602"/>
    </row>
    <row r="1625" spans="1:9" ht="9.9" customHeight="1">
      <c r="A1625" s="607"/>
      <c r="B1625" s="584" t="s">
        <v>203</v>
      </c>
      <c r="C1625" s="53">
        <f t="shared" ref="C1625" si="218">C1623</f>
        <v>75</v>
      </c>
      <c r="D1625" s="53">
        <v>1.06</v>
      </c>
      <c r="E1625" s="234">
        <v>200</v>
      </c>
      <c r="F1625" s="223">
        <f>(G$1269*0.1)/1000</f>
        <v>0.27202699999999996</v>
      </c>
      <c r="G1625" s="559">
        <f t="shared" ref="G1625" si="219">F1625*E1625*D1625*C1625</f>
        <v>4325.2293</v>
      </c>
      <c r="H1625" s="561">
        <v>0</v>
      </c>
      <c r="I1625" s="601"/>
    </row>
    <row r="1626" spans="1:9" ht="9.9" customHeight="1">
      <c r="A1626" s="607"/>
      <c r="B1626" s="585"/>
      <c r="C1626" s="54"/>
      <c r="D1626" s="54"/>
      <c r="E1626" s="54"/>
      <c r="F1626" s="54"/>
      <c r="G1626" s="560"/>
      <c r="H1626" s="562"/>
      <c r="I1626" s="602"/>
    </row>
    <row r="1627" spans="1:9" ht="9.9" customHeight="1">
      <c r="A1627" s="607"/>
      <c r="B1627" s="584" t="s">
        <v>204</v>
      </c>
      <c r="C1627" s="53">
        <f t="shared" ref="C1627" si="220">C1625</f>
        <v>75</v>
      </c>
      <c r="D1627" s="53">
        <v>1.06</v>
      </c>
      <c r="E1627" s="234">
        <v>285</v>
      </c>
      <c r="F1627" s="223">
        <f>(G1390*0.03)/1000</f>
        <v>0.20168177999999998</v>
      </c>
      <c r="G1627" s="559">
        <f t="shared" ref="G1627" si="221">F1627*E1627*D1627*C1627</f>
        <v>4569.6049303500004</v>
      </c>
      <c r="H1627" s="561">
        <v>0</v>
      </c>
      <c r="I1627" s="601"/>
    </row>
    <row r="1628" spans="1:9" ht="9.9" customHeight="1">
      <c r="A1628" s="607"/>
      <c r="B1628" s="585"/>
      <c r="C1628" s="54"/>
      <c r="D1628" s="54"/>
      <c r="E1628" s="54"/>
      <c r="F1628" s="54"/>
      <c r="G1628" s="560"/>
      <c r="H1628" s="562"/>
      <c r="I1628" s="602"/>
    </row>
    <row r="1629" spans="1:9" ht="12" customHeight="1">
      <c r="A1629" s="580"/>
      <c r="B1629" s="565" t="s">
        <v>33</v>
      </c>
      <c r="C1629" s="566"/>
      <c r="D1629" s="566"/>
      <c r="E1629" s="567"/>
      <c r="F1629" s="299">
        <f>A1612</f>
        <v>280102</v>
      </c>
      <c r="G1629" s="300">
        <f>SUM(G1613:G1628)</f>
        <v>142086.52954784999</v>
      </c>
      <c r="H1629" s="301">
        <f>SUM(H1627:H1628)</f>
        <v>0</v>
      </c>
      <c r="I1629" s="302" t="str">
        <f>IF(F1629="","",VLOOKUP(F1629,'ابنیه 95'!$A:$E,3,FALSE))</f>
        <v>تن -  کيلومتر</v>
      </c>
    </row>
    <row r="1630" spans="1:9" ht="12" customHeight="1">
      <c r="A1630" s="578">
        <v>280103</v>
      </c>
      <c r="B1630" s="617" t="str">
        <f>IF(A1630="","",VLOOKUP(A1630,'ابنیه 95'!$A:$E,2,FALSE))</f>
        <v>حمل آهن آلات و سيمان پاكتي، نسبت به مازاد بر150 كيلومتر تا فاصله 300 كيلومتر.</v>
      </c>
      <c r="C1630" s="618"/>
      <c r="D1630" s="618"/>
      <c r="E1630" s="618"/>
      <c r="F1630" s="618"/>
      <c r="G1630" s="618"/>
      <c r="H1630" s="618"/>
      <c r="I1630" s="619"/>
    </row>
    <row r="1631" spans="1:9" ht="9.9" customHeight="1">
      <c r="A1631" s="607"/>
      <c r="B1631" s="584" t="s">
        <v>162</v>
      </c>
      <c r="C1631" s="232">
        <v>150</v>
      </c>
      <c r="D1631" s="53">
        <v>1.05</v>
      </c>
      <c r="E1631" s="234">
        <v>1000</v>
      </c>
      <c r="F1631" s="235">
        <f>F1613</f>
        <v>368055.77600000007</v>
      </c>
      <c r="G1631" s="559">
        <f>(F1631/E1631)*D1631*C1631</f>
        <v>57968.784720000011</v>
      </c>
      <c r="H1631" s="561">
        <v>0</v>
      </c>
      <c r="I1631" s="601">
        <f>I1613</f>
        <v>0</v>
      </c>
    </row>
    <row r="1632" spans="1:9" ht="9.9" customHeight="1">
      <c r="A1632" s="607"/>
      <c r="B1632" s="585"/>
      <c r="C1632" s="54"/>
      <c r="D1632" s="54"/>
      <c r="E1632" s="54"/>
      <c r="F1632" s="54"/>
      <c r="G1632" s="560"/>
      <c r="H1632" s="562"/>
      <c r="I1632" s="602"/>
    </row>
    <row r="1633" spans="1:9" ht="12" customHeight="1">
      <c r="A1633" s="580"/>
      <c r="B1633" s="565" t="s">
        <v>33</v>
      </c>
      <c r="C1633" s="566"/>
      <c r="D1633" s="566"/>
      <c r="E1633" s="567"/>
      <c r="F1633" s="299">
        <f>A1630</f>
        <v>280103</v>
      </c>
      <c r="G1633" s="300">
        <f>SUM(G1631)</f>
        <v>57968.784720000011</v>
      </c>
      <c r="H1633" s="301">
        <f>SUM(H1631:H1632)</f>
        <v>0</v>
      </c>
      <c r="I1633" s="302" t="str">
        <f>IF(F1633="","",VLOOKUP(F1633,'ابنیه 95'!$A:$E,3,FALSE))</f>
        <v>تن -  کيلومتر</v>
      </c>
    </row>
    <row r="1634" spans="1:9" ht="12" customHeight="1">
      <c r="A1634" s="586" t="s">
        <v>1781</v>
      </c>
      <c r="B1634" s="587"/>
      <c r="C1634" s="587"/>
      <c r="D1634" s="587"/>
      <c r="E1634" s="587"/>
      <c r="F1634" s="587"/>
      <c r="G1634" s="587"/>
      <c r="H1634" s="587"/>
      <c r="I1634" s="588"/>
    </row>
    <row r="1635" spans="1:9" ht="15" customHeight="1">
      <c r="A1635" s="596" t="s">
        <v>1782</v>
      </c>
      <c r="B1635" s="574" t="s">
        <v>1783</v>
      </c>
      <c r="C1635" s="53"/>
      <c r="D1635" s="53"/>
      <c r="E1635" s="54"/>
      <c r="F1635" s="53"/>
      <c r="G1635" s="559">
        <v>1</v>
      </c>
      <c r="H1635" s="561"/>
      <c r="I1635" s="601"/>
    </row>
    <row r="1636" spans="1:9" ht="15" customHeight="1">
      <c r="A1636" s="597"/>
      <c r="B1636" s="575"/>
      <c r="C1636" s="54"/>
      <c r="D1636" s="54"/>
      <c r="E1636" s="54"/>
      <c r="F1636" s="54"/>
      <c r="G1636" s="560"/>
      <c r="H1636" s="562"/>
      <c r="I1636" s="602"/>
    </row>
    <row r="1637" spans="1:9" ht="15" customHeight="1">
      <c r="A1637" s="598"/>
      <c r="B1637" s="565" t="s">
        <v>33</v>
      </c>
      <c r="C1637" s="566"/>
      <c r="D1637" s="566"/>
      <c r="E1637" s="566"/>
      <c r="F1637" s="567"/>
      <c r="G1637" s="300">
        <f>SUM(G1635:G1636)</f>
        <v>1</v>
      </c>
      <c r="H1637" s="301"/>
      <c r="I1637" s="302" t="s">
        <v>210</v>
      </c>
    </row>
    <row r="1638" spans="1:9" ht="15" customHeight="1">
      <c r="A1638" s="596" t="s">
        <v>1784</v>
      </c>
      <c r="B1638" s="574" t="s">
        <v>1785</v>
      </c>
      <c r="C1638" s="53"/>
      <c r="D1638" s="53"/>
      <c r="E1638" s="54"/>
      <c r="F1638" s="53"/>
      <c r="G1638" s="559">
        <v>24</v>
      </c>
      <c r="H1638" s="561"/>
      <c r="I1638" s="601"/>
    </row>
    <row r="1639" spans="1:9" ht="15" customHeight="1">
      <c r="A1639" s="597"/>
      <c r="B1639" s="575"/>
      <c r="C1639" s="54"/>
      <c r="D1639" s="54"/>
      <c r="E1639" s="54"/>
      <c r="F1639" s="54"/>
      <c r="G1639" s="560"/>
      <c r="H1639" s="562"/>
      <c r="I1639" s="602"/>
    </row>
    <row r="1640" spans="1:9" ht="12" customHeight="1">
      <c r="A1640" s="598"/>
      <c r="B1640" s="565" t="s">
        <v>33</v>
      </c>
      <c r="C1640" s="566"/>
      <c r="D1640" s="566"/>
      <c r="E1640" s="566"/>
      <c r="F1640" s="567"/>
      <c r="G1640" s="300">
        <f>SUM(G1638:G1639)</f>
        <v>24</v>
      </c>
      <c r="H1640" s="301"/>
      <c r="I1640" s="302" t="s">
        <v>210</v>
      </c>
    </row>
    <row r="1641" spans="1:9" ht="12" customHeight="1">
      <c r="A1641" s="586" t="s">
        <v>157</v>
      </c>
      <c r="B1641" s="587"/>
      <c r="C1641" s="587"/>
      <c r="D1641" s="587"/>
      <c r="E1641" s="587"/>
      <c r="F1641" s="587"/>
      <c r="G1641" s="587"/>
      <c r="H1641" s="587"/>
      <c r="I1641" s="588"/>
    </row>
    <row r="1642" spans="1:9" ht="9.9" customHeight="1">
      <c r="A1642" s="596">
        <v>410202</v>
      </c>
      <c r="B1642" s="584" t="str">
        <f>IF(A1642="","",VLOOKUP(A1642,'ابنیه 95'!$A:$E,2,FALSE))</f>
        <v>ماسه شسته.</v>
      </c>
      <c r="C1642" s="53"/>
      <c r="D1642" s="53"/>
      <c r="E1642" s="54"/>
      <c r="F1642" s="53"/>
      <c r="G1642" s="559">
        <v>150</v>
      </c>
      <c r="H1642" s="561"/>
      <c r="I1642" s="601"/>
    </row>
    <row r="1643" spans="1:9" ht="9.9" customHeight="1">
      <c r="A1643" s="597"/>
      <c r="B1643" s="585"/>
      <c r="C1643" s="54"/>
      <c r="D1643" s="54"/>
      <c r="E1643" s="54"/>
      <c r="F1643" s="54"/>
      <c r="G1643" s="560"/>
      <c r="H1643" s="562"/>
      <c r="I1643" s="602"/>
    </row>
    <row r="1644" spans="1:9" ht="12" customHeight="1">
      <c r="A1644" s="598"/>
      <c r="B1644" s="565" t="s">
        <v>33</v>
      </c>
      <c r="C1644" s="566"/>
      <c r="D1644" s="566"/>
      <c r="E1644" s="567"/>
      <c r="F1644" s="299">
        <f>A1642</f>
        <v>410202</v>
      </c>
      <c r="G1644" s="300">
        <f>SUM(G1642)</f>
        <v>150</v>
      </c>
      <c r="H1644" s="301">
        <f>SUM(H1642:H1643)</f>
        <v>0</v>
      </c>
      <c r="I1644" s="302" t="str">
        <f>IF(F1644="","",VLOOKUP(F1644,'ابنیه 95'!$A:$E,3,FALSE))</f>
        <v>مترمکعب</v>
      </c>
    </row>
    <row r="1645" spans="1:9" ht="9.9" customHeight="1">
      <c r="A1645" s="596">
        <v>410203</v>
      </c>
      <c r="B1645" s="584" t="str">
        <f>IF(A1645="","",VLOOKUP(A1645,'ابنیه 95'!$A:$E,2,FALSE))</f>
        <v>شن شسته.</v>
      </c>
      <c r="C1645" s="53"/>
      <c r="D1645" s="53"/>
      <c r="E1645" s="54"/>
      <c r="F1645" s="53"/>
      <c r="G1645" s="559">
        <v>150</v>
      </c>
      <c r="H1645" s="561"/>
      <c r="I1645" s="601"/>
    </row>
    <row r="1646" spans="1:9" ht="9.9" customHeight="1">
      <c r="A1646" s="597"/>
      <c r="B1646" s="585"/>
      <c r="C1646" s="54"/>
      <c r="D1646" s="54"/>
      <c r="E1646" s="54"/>
      <c r="F1646" s="54"/>
      <c r="G1646" s="560"/>
      <c r="H1646" s="562"/>
      <c r="I1646" s="602"/>
    </row>
    <row r="1647" spans="1:9" ht="12" customHeight="1">
      <c r="A1647" s="598"/>
      <c r="B1647" s="565" t="s">
        <v>33</v>
      </c>
      <c r="C1647" s="566"/>
      <c r="D1647" s="566"/>
      <c r="E1647" s="567"/>
      <c r="F1647" s="299">
        <f>A1645</f>
        <v>410203</v>
      </c>
      <c r="G1647" s="300">
        <f>SUM(G1645)</f>
        <v>150</v>
      </c>
      <c r="H1647" s="301">
        <f>SUM(H1645:H1646)</f>
        <v>0</v>
      </c>
      <c r="I1647" s="302" t="str">
        <f>IF(F1647="","",VLOOKUP(F1647,'ابنیه 95'!$A:$E,3,FALSE))</f>
        <v>مترمکعب</v>
      </c>
    </row>
    <row r="1648" spans="1:9" ht="9.9" customHeight="1">
      <c r="A1648" s="596">
        <v>410404</v>
      </c>
      <c r="B1648" s="599" t="s">
        <v>3062</v>
      </c>
      <c r="C1648" s="53"/>
      <c r="D1648" s="53"/>
      <c r="E1648" s="54"/>
      <c r="F1648" s="53"/>
      <c r="G1648" s="559">
        <v>2000</v>
      </c>
      <c r="H1648" s="561"/>
      <c r="I1648" s="601"/>
    </row>
    <row r="1649" spans="1:9" ht="9.9" customHeight="1">
      <c r="A1649" s="597"/>
      <c r="B1649" s="600"/>
      <c r="C1649" s="54"/>
      <c r="D1649" s="54"/>
      <c r="E1649" s="54"/>
      <c r="F1649" s="54"/>
      <c r="G1649" s="560"/>
      <c r="H1649" s="562"/>
      <c r="I1649" s="602"/>
    </row>
    <row r="1650" spans="1:9" ht="12" customHeight="1">
      <c r="A1650" s="598"/>
      <c r="B1650" s="565" t="s">
        <v>33</v>
      </c>
      <c r="C1650" s="566"/>
      <c r="D1650" s="566"/>
      <c r="E1650" s="567"/>
      <c r="F1650" s="299">
        <f>A1648</f>
        <v>410404</v>
      </c>
      <c r="G1650" s="404">
        <f>SUM(G1648)</f>
        <v>2000</v>
      </c>
      <c r="H1650" s="405">
        <f>SUM(H1648:H1649)</f>
        <v>0</v>
      </c>
      <c r="I1650" s="302" t="str">
        <f>IF(F1650="","",VLOOKUP(F1650,'ابنیه 95'!$A:$E,3,FALSE))</f>
        <v>مترمربع</v>
      </c>
    </row>
    <row r="1651" spans="1:9" ht="9.9" customHeight="1">
      <c r="A1651" s="596">
        <v>410501</v>
      </c>
      <c r="B1651" s="584" t="str">
        <f>IF(A1651="","",VLOOKUP(A1651,'ابنیه 95'!$A:$E,2,FALSE))</f>
        <v>سيمان پرتلند پاكتي.</v>
      </c>
      <c r="C1651" s="53"/>
      <c r="D1651" s="53"/>
      <c r="E1651" s="54"/>
      <c r="F1651" s="53"/>
      <c r="G1651" s="559">
        <v>150</v>
      </c>
      <c r="H1651" s="561"/>
      <c r="I1651" s="601"/>
    </row>
    <row r="1652" spans="1:9" ht="9.9" customHeight="1">
      <c r="A1652" s="597"/>
      <c r="B1652" s="585"/>
      <c r="C1652" s="54"/>
      <c r="D1652" s="54"/>
      <c r="E1652" s="54"/>
      <c r="F1652" s="54"/>
      <c r="G1652" s="560"/>
      <c r="H1652" s="562"/>
      <c r="I1652" s="602"/>
    </row>
    <row r="1653" spans="1:9" ht="12" customHeight="1">
      <c r="A1653" s="598"/>
      <c r="B1653" s="565" t="s">
        <v>33</v>
      </c>
      <c r="C1653" s="566"/>
      <c r="D1653" s="566"/>
      <c r="E1653" s="567"/>
      <c r="F1653" s="299">
        <f>A1651</f>
        <v>410501</v>
      </c>
      <c r="G1653" s="300">
        <f>SUM(G1651)</f>
        <v>150</v>
      </c>
      <c r="H1653" s="301">
        <f>SUM(H1651:H1652)</f>
        <v>0</v>
      </c>
      <c r="I1653" s="302" t="str">
        <f>IF(F1653="","",VLOOKUP(F1653,'ابنیه 95'!$A:$E,3,FALSE))</f>
        <v>تن</v>
      </c>
    </row>
    <row r="1654" spans="1:9" ht="9.9" customHeight="1">
      <c r="A1654" s="596">
        <v>410701</v>
      </c>
      <c r="B1654" s="584" t="str">
        <f>IF(A1654="","",VLOOKUP(A1654,'ابنیه 95'!$A:$E,2,FALSE))</f>
        <v>آجر فشاري.</v>
      </c>
      <c r="C1654" s="53"/>
      <c r="D1654" s="53"/>
      <c r="E1654" s="54"/>
      <c r="F1654" s="53"/>
      <c r="G1654" s="559">
        <v>2000</v>
      </c>
      <c r="H1654" s="561"/>
      <c r="I1654" s="601"/>
    </row>
    <row r="1655" spans="1:9" ht="9.9" customHeight="1">
      <c r="A1655" s="597"/>
      <c r="B1655" s="585"/>
      <c r="C1655" s="54"/>
      <c r="D1655" s="54"/>
      <c r="E1655" s="54"/>
      <c r="F1655" s="54"/>
      <c r="G1655" s="560"/>
      <c r="H1655" s="562"/>
      <c r="I1655" s="602"/>
    </row>
    <row r="1656" spans="1:9" ht="12" customHeight="1">
      <c r="A1656" s="598"/>
      <c r="B1656" s="565" t="s">
        <v>33</v>
      </c>
      <c r="C1656" s="566"/>
      <c r="D1656" s="566"/>
      <c r="E1656" s="567"/>
      <c r="F1656" s="299">
        <f>A1654</f>
        <v>410701</v>
      </c>
      <c r="G1656" s="300">
        <f>SUM(G1654)</f>
        <v>2000</v>
      </c>
      <c r="H1656" s="301">
        <f>SUM(H1654:H1655)</f>
        <v>0</v>
      </c>
      <c r="I1656" s="302" t="str">
        <f>IF(F1656="","",VLOOKUP(F1656,'ابنیه 95'!$A:$E,3,FALSE))</f>
        <v>قالب</v>
      </c>
    </row>
    <row r="1657" spans="1:9" ht="9.9" customHeight="1">
      <c r="A1657" s="596">
        <v>410801</v>
      </c>
      <c r="B1657" s="584" t="str">
        <f>IF(A1657="","",VLOOKUP(A1657,'ابنیه 95'!$A:$E,2,FALSE))</f>
        <v>انواع بلوك سفال (آجر تيغه).</v>
      </c>
      <c r="C1657" s="53"/>
      <c r="D1657" s="53"/>
      <c r="E1657" s="54"/>
      <c r="F1657" s="53"/>
      <c r="G1657" s="559">
        <v>10000</v>
      </c>
      <c r="H1657" s="561"/>
      <c r="I1657" s="601"/>
    </row>
    <row r="1658" spans="1:9" ht="9.9" customHeight="1">
      <c r="A1658" s="597"/>
      <c r="B1658" s="585"/>
      <c r="C1658" s="54"/>
      <c r="D1658" s="54"/>
      <c r="E1658" s="54"/>
      <c r="F1658" s="54"/>
      <c r="G1658" s="560"/>
      <c r="H1658" s="562"/>
      <c r="I1658" s="602"/>
    </row>
    <row r="1659" spans="1:9" ht="12" customHeight="1">
      <c r="A1659" s="598"/>
      <c r="B1659" s="565" t="s">
        <v>33</v>
      </c>
      <c r="C1659" s="566"/>
      <c r="D1659" s="566"/>
      <c r="E1659" s="567"/>
      <c r="F1659" s="299">
        <f>A1657</f>
        <v>410801</v>
      </c>
      <c r="G1659" s="398">
        <f>SUM(G1657)</f>
        <v>10000</v>
      </c>
      <c r="H1659" s="399">
        <f>SUM(H1657:H1658)</f>
        <v>0</v>
      </c>
      <c r="I1659" s="302" t="str">
        <f>IF(F1659="","",VLOOKUP(F1659,'ابنیه 95'!$A:$E,3,FALSE))</f>
        <v>قالب</v>
      </c>
    </row>
    <row r="1660" spans="1:9" ht="9.9" customHeight="1">
      <c r="A1660" s="596">
        <v>410804</v>
      </c>
      <c r="B1660" s="584" t="str">
        <f>IF(A1660="","",VLOOKUP(A1660,'ابنیه 95'!$A:$E,2,FALSE))</f>
        <v>انواع بلوك سيماني سقفي.</v>
      </c>
      <c r="C1660" s="53"/>
      <c r="D1660" s="53"/>
      <c r="E1660" s="54"/>
      <c r="F1660" s="53"/>
      <c r="G1660" s="559">
        <v>0</v>
      </c>
      <c r="H1660" s="561"/>
      <c r="I1660" s="601"/>
    </row>
    <row r="1661" spans="1:9" ht="9.9" customHeight="1">
      <c r="A1661" s="597"/>
      <c r="B1661" s="585"/>
      <c r="C1661" s="54"/>
      <c r="D1661" s="54"/>
      <c r="E1661" s="54"/>
      <c r="F1661" s="54"/>
      <c r="G1661" s="560"/>
      <c r="H1661" s="562"/>
      <c r="I1661" s="602"/>
    </row>
    <row r="1662" spans="1:9" ht="12" customHeight="1">
      <c r="A1662" s="598"/>
      <c r="B1662" s="565" t="s">
        <v>33</v>
      </c>
      <c r="C1662" s="566"/>
      <c r="D1662" s="566"/>
      <c r="E1662" s="567"/>
      <c r="F1662" s="299">
        <f>A1660</f>
        <v>410804</v>
      </c>
      <c r="G1662" s="300">
        <f>SUM(G1660)</f>
        <v>0</v>
      </c>
      <c r="H1662" s="301">
        <f>SUM(H1660:H1661)</f>
        <v>0</v>
      </c>
      <c r="I1662" s="302" t="str">
        <f>IF(F1662="","",VLOOKUP(F1662,'ابنیه 95'!$A:$E,3,FALSE))</f>
        <v>قالب</v>
      </c>
    </row>
    <row r="1663" spans="1:9" ht="9.9" customHeight="1">
      <c r="A1663" s="596">
        <v>410904</v>
      </c>
      <c r="B1663" s="584" t="str">
        <f>IF(A1663="","",VLOOKUP(A1663,'ابنیه 95'!$A:$E,2,FALSE))</f>
        <v>انواع نبشي.</v>
      </c>
      <c r="C1663" s="53"/>
      <c r="D1663" s="53"/>
      <c r="E1663" s="54"/>
      <c r="F1663" s="53"/>
      <c r="G1663" s="559">
        <v>5000</v>
      </c>
      <c r="H1663" s="561"/>
      <c r="I1663" s="601"/>
    </row>
    <row r="1664" spans="1:9" ht="9.9" customHeight="1">
      <c r="A1664" s="597"/>
      <c r="B1664" s="585"/>
      <c r="C1664" s="54"/>
      <c r="D1664" s="54"/>
      <c r="E1664" s="54"/>
      <c r="F1664" s="54"/>
      <c r="G1664" s="560"/>
      <c r="H1664" s="562"/>
      <c r="I1664" s="602"/>
    </row>
    <row r="1665" spans="1:9" ht="12" customHeight="1">
      <c r="A1665" s="598"/>
      <c r="B1665" s="565" t="s">
        <v>33</v>
      </c>
      <c r="C1665" s="566"/>
      <c r="D1665" s="566"/>
      <c r="E1665" s="567"/>
      <c r="F1665" s="299">
        <f>A1663</f>
        <v>410904</v>
      </c>
      <c r="G1665" s="398">
        <f>SUM(G1663)</f>
        <v>5000</v>
      </c>
      <c r="H1665" s="399">
        <f>SUM(H1663:H1664)</f>
        <v>0</v>
      </c>
      <c r="I1665" s="302" t="str">
        <f>IF(F1665="","",VLOOKUP(F1665,'ابنیه 95'!$A:$E,3,FALSE))</f>
        <v>کيلوگرم</v>
      </c>
    </row>
    <row r="1666" spans="1:9" ht="9.9" customHeight="1">
      <c r="A1666" s="596">
        <v>410906</v>
      </c>
      <c r="B1666" s="584" t="str">
        <f>IF(A1666="","",VLOOKUP(A1666,'ابنیه 95'!$A:$E,2,FALSE))</f>
        <v>انواع قوطي.</v>
      </c>
      <c r="C1666" s="53"/>
      <c r="D1666" s="53"/>
      <c r="E1666" s="54"/>
      <c r="F1666" s="53"/>
      <c r="G1666" s="559">
        <v>3000</v>
      </c>
      <c r="H1666" s="561"/>
      <c r="I1666" s="601"/>
    </row>
    <row r="1667" spans="1:9" ht="9.9" customHeight="1">
      <c r="A1667" s="597"/>
      <c r="B1667" s="585"/>
      <c r="C1667" s="54"/>
      <c r="D1667" s="54"/>
      <c r="E1667" s="54"/>
      <c r="F1667" s="54"/>
      <c r="G1667" s="560"/>
      <c r="H1667" s="562"/>
      <c r="I1667" s="602"/>
    </row>
    <row r="1668" spans="1:9" ht="12" customHeight="1">
      <c r="A1668" s="598"/>
      <c r="B1668" s="565" t="s">
        <v>33</v>
      </c>
      <c r="C1668" s="566"/>
      <c r="D1668" s="566"/>
      <c r="E1668" s="567"/>
      <c r="F1668" s="299">
        <f>A1666</f>
        <v>410906</v>
      </c>
      <c r="G1668" s="398">
        <f>SUM(G1666)</f>
        <v>3000</v>
      </c>
      <c r="H1668" s="399">
        <f>SUM(H1666:H1667)</f>
        <v>0</v>
      </c>
      <c r="I1668" s="302" t="str">
        <f>IF(F1668="","",VLOOKUP(F1668,'ابنیه 95'!$A:$E,3,FALSE))</f>
        <v>کيلوگرم</v>
      </c>
    </row>
    <row r="1669" spans="1:9" ht="9.9" customHeight="1">
      <c r="A1669" s="596">
        <v>411002</v>
      </c>
      <c r="B1669" s="584" t="str">
        <f>IF(A1669="","",VLOOKUP(A1669,'ابنیه 95'!$A:$E,2,FALSE))</f>
        <v>انواع ميل گردآجدار.</v>
      </c>
      <c r="C1669" s="53"/>
      <c r="D1669" s="53"/>
      <c r="E1669" s="54"/>
      <c r="F1669" s="53"/>
      <c r="G1669" s="656">
        <v>0</v>
      </c>
      <c r="H1669" s="561"/>
      <c r="I1669" s="601"/>
    </row>
    <row r="1670" spans="1:9" ht="9.9" customHeight="1">
      <c r="A1670" s="597"/>
      <c r="B1670" s="585"/>
      <c r="C1670" s="54"/>
      <c r="D1670" s="54"/>
      <c r="E1670" s="54"/>
      <c r="F1670" s="54"/>
      <c r="G1670" s="657"/>
      <c r="H1670" s="562"/>
      <c r="I1670" s="602"/>
    </row>
    <row r="1671" spans="1:9" ht="12" customHeight="1">
      <c r="A1671" s="598"/>
      <c r="B1671" s="565" t="s">
        <v>33</v>
      </c>
      <c r="C1671" s="566"/>
      <c r="D1671" s="566"/>
      <c r="E1671" s="567"/>
      <c r="F1671" s="299">
        <f>A1669</f>
        <v>411002</v>
      </c>
      <c r="G1671" s="307">
        <f>SUM(G1669)</f>
        <v>0</v>
      </c>
      <c r="H1671" s="301">
        <f>SUM(H1669:H1670)</f>
        <v>0</v>
      </c>
      <c r="I1671" s="302" t="str">
        <f>IF(F1671="","",VLOOKUP(F1671,'ابنیه 95'!$A:$E,3,FALSE))</f>
        <v>کيلوگرم</v>
      </c>
    </row>
    <row r="1672" spans="1:9" ht="9.9" customHeight="1">
      <c r="A1672" s="596">
        <v>411701</v>
      </c>
      <c r="B1672" s="584" t="str">
        <f>IF(A1672="","",VLOOKUP(A1672,'ابنیه 95'!$A:$E,2,FALSE))</f>
        <v>انواع عايق‌هاي پيش ساخته رطوبتي.</v>
      </c>
      <c r="C1672" s="53"/>
      <c r="D1672" s="53"/>
      <c r="E1672" s="54"/>
      <c r="F1672" s="53"/>
      <c r="G1672" s="559">
        <v>1200</v>
      </c>
      <c r="H1672" s="561"/>
      <c r="I1672" s="601"/>
    </row>
    <row r="1673" spans="1:9" ht="9.9" customHeight="1">
      <c r="A1673" s="597"/>
      <c r="B1673" s="585"/>
      <c r="C1673" s="54"/>
      <c r="D1673" s="54"/>
      <c r="E1673" s="54"/>
      <c r="F1673" s="54"/>
      <c r="G1673" s="560"/>
      <c r="H1673" s="562"/>
      <c r="I1673" s="602"/>
    </row>
    <row r="1674" spans="1:9" ht="12" customHeight="1">
      <c r="A1674" s="598"/>
      <c r="B1674" s="565" t="s">
        <v>33</v>
      </c>
      <c r="C1674" s="566"/>
      <c r="D1674" s="566"/>
      <c r="E1674" s="567"/>
      <c r="F1674" s="299">
        <f>A1672</f>
        <v>411701</v>
      </c>
      <c r="G1674" s="307">
        <f>SUM(G1672)</f>
        <v>1200</v>
      </c>
      <c r="H1674" s="301">
        <f>SUM(H1672:H1673)</f>
        <v>0</v>
      </c>
      <c r="I1674" s="302" t="str">
        <f>IF(F1674="","",VLOOKUP(F1674,'ابنیه 95'!$A:$E,3,FALSE))</f>
        <v>مترمربع</v>
      </c>
    </row>
  </sheetData>
  <mergeCells count="3262">
    <mergeCell ref="A4:B5"/>
    <mergeCell ref="H1:I2"/>
    <mergeCell ref="A9:A12"/>
    <mergeCell ref="B9:I9"/>
    <mergeCell ref="B10:B11"/>
    <mergeCell ref="G10:G11"/>
    <mergeCell ref="H10:H11"/>
    <mergeCell ref="I10:I11"/>
    <mergeCell ref="B12:E12"/>
    <mergeCell ref="B16:B17"/>
    <mergeCell ref="G16:G17"/>
    <mergeCell ref="H16:H17"/>
    <mergeCell ref="I16:I17"/>
    <mergeCell ref="B1574:B1575"/>
    <mergeCell ref="G1574:G1575"/>
    <mergeCell ref="H1574:H1575"/>
    <mergeCell ref="I1574:I1575"/>
    <mergeCell ref="B1564:B1565"/>
    <mergeCell ref="G1564:G1565"/>
    <mergeCell ref="H1564:H1565"/>
    <mergeCell ref="I1564:I1565"/>
    <mergeCell ref="B1566:B1567"/>
    <mergeCell ref="G1566:G1567"/>
    <mergeCell ref="H1566:H1567"/>
    <mergeCell ref="I1566:I1567"/>
    <mergeCell ref="B1568:B1569"/>
    <mergeCell ref="G1568:G1569"/>
    <mergeCell ref="H1568:H1569"/>
    <mergeCell ref="I1568:I1569"/>
    <mergeCell ref="B1570:B1571"/>
    <mergeCell ref="G1570:G1571"/>
    <mergeCell ref="H1570:H1571"/>
    <mergeCell ref="I1570:I1571"/>
    <mergeCell ref="B1572:B1573"/>
    <mergeCell ref="G1572:G1573"/>
    <mergeCell ref="H1572:H1573"/>
    <mergeCell ref="I1572:I1573"/>
    <mergeCell ref="B1206:B1207"/>
    <mergeCell ref="G1206:G1207"/>
    <mergeCell ref="H1206:H1207"/>
    <mergeCell ref="I1206:I1207"/>
    <mergeCell ref="B1208:B1209"/>
    <mergeCell ref="G1208:G1209"/>
    <mergeCell ref="H1208:H1209"/>
    <mergeCell ref="I1208:I1209"/>
    <mergeCell ref="B1210:B1211"/>
    <mergeCell ref="G1210:G1211"/>
    <mergeCell ref="H1210:H1211"/>
    <mergeCell ref="I1210:I1211"/>
    <mergeCell ref="B1212:B1213"/>
    <mergeCell ref="G1212:G1213"/>
    <mergeCell ref="H1212:H1213"/>
    <mergeCell ref="I1212:I1213"/>
    <mergeCell ref="B1562:B1563"/>
    <mergeCell ref="G1562:G1563"/>
    <mergeCell ref="H1562:H1563"/>
    <mergeCell ref="I1562:I1563"/>
    <mergeCell ref="B1542:B1543"/>
    <mergeCell ref="G1542:G1543"/>
    <mergeCell ref="H1542:H1543"/>
    <mergeCell ref="I1542:I1543"/>
    <mergeCell ref="B1544:B1545"/>
    <mergeCell ref="G1544:G1545"/>
    <mergeCell ref="H1544:H1545"/>
    <mergeCell ref="I1544:I1545"/>
    <mergeCell ref="B1546:B1547"/>
    <mergeCell ref="G1546:G1547"/>
    <mergeCell ref="H1546:H1547"/>
    <mergeCell ref="I1546:I1547"/>
    <mergeCell ref="B1178:B1179"/>
    <mergeCell ref="G1178:G1179"/>
    <mergeCell ref="H1178:H1179"/>
    <mergeCell ref="I1178:I1179"/>
    <mergeCell ref="B1198:B1199"/>
    <mergeCell ref="G1198:G1199"/>
    <mergeCell ref="H1198:H1199"/>
    <mergeCell ref="I1198:I1199"/>
    <mergeCell ref="B1200:B1201"/>
    <mergeCell ref="G1200:G1201"/>
    <mergeCell ref="H1200:H1201"/>
    <mergeCell ref="I1200:I1201"/>
    <mergeCell ref="B1202:B1203"/>
    <mergeCell ref="G1202:G1203"/>
    <mergeCell ref="H1202:H1203"/>
    <mergeCell ref="I1202:I1203"/>
    <mergeCell ref="B1204:B1205"/>
    <mergeCell ref="G1204:G1205"/>
    <mergeCell ref="H1204:H1205"/>
    <mergeCell ref="I1204:I1205"/>
    <mergeCell ref="B1356:B1357"/>
    <mergeCell ref="G1356:G1357"/>
    <mergeCell ref="H1356:H1357"/>
    <mergeCell ref="I1356:I1357"/>
    <mergeCell ref="B1358:B1359"/>
    <mergeCell ref="G1358:G1359"/>
    <mergeCell ref="H1358:H1359"/>
    <mergeCell ref="I1358:I1359"/>
    <mergeCell ref="B1360:B1361"/>
    <mergeCell ref="I1127:I1128"/>
    <mergeCell ref="B1168:B1169"/>
    <mergeCell ref="G1168:G1169"/>
    <mergeCell ref="H1168:H1169"/>
    <mergeCell ref="I1168:I1169"/>
    <mergeCell ref="B1170:B1171"/>
    <mergeCell ref="G1170:G1171"/>
    <mergeCell ref="H1170:H1171"/>
    <mergeCell ref="I1170:I1171"/>
    <mergeCell ref="B1172:B1173"/>
    <mergeCell ref="G1172:G1173"/>
    <mergeCell ref="H1172:H1173"/>
    <mergeCell ref="I1172:I1173"/>
    <mergeCell ref="B1174:B1175"/>
    <mergeCell ref="G1174:G1175"/>
    <mergeCell ref="H1174:H1175"/>
    <mergeCell ref="I1174:I1175"/>
    <mergeCell ref="G1154:G1155"/>
    <mergeCell ref="H1154:H1155"/>
    <mergeCell ref="I1154:I1155"/>
    <mergeCell ref="B1158:B1159"/>
    <mergeCell ref="G1158:G1159"/>
    <mergeCell ref="H1158:H1159"/>
    <mergeCell ref="I1158:I1159"/>
    <mergeCell ref="B1148:B1149"/>
    <mergeCell ref="G1148:G1149"/>
    <mergeCell ref="H1148:H1149"/>
    <mergeCell ref="I1148:I1149"/>
    <mergeCell ref="B1150:B1151"/>
    <mergeCell ref="G1150:G1151"/>
    <mergeCell ref="H1150:H1151"/>
    <mergeCell ref="I1150:I1151"/>
    <mergeCell ref="B1045:B1046"/>
    <mergeCell ref="B1131:B1132"/>
    <mergeCell ref="G1131:G1132"/>
    <mergeCell ref="H1131:H1132"/>
    <mergeCell ref="I1131:I1132"/>
    <mergeCell ref="B1133:B1134"/>
    <mergeCell ref="G1133:G1134"/>
    <mergeCell ref="H1133:H1134"/>
    <mergeCell ref="I1133:I1134"/>
    <mergeCell ref="B1164:B1165"/>
    <mergeCell ref="G1164:G1165"/>
    <mergeCell ref="H1164:H1165"/>
    <mergeCell ref="I1164:I1165"/>
    <mergeCell ref="B1166:B1167"/>
    <mergeCell ref="G1166:G1167"/>
    <mergeCell ref="H1166:H1167"/>
    <mergeCell ref="I1166:I1167"/>
    <mergeCell ref="B1121:B1122"/>
    <mergeCell ref="G1121:G1122"/>
    <mergeCell ref="H1121:H1122"/>
    <mergeCell ref="I1121:I1122"/>
    <mergeCell ref="B1123:B1124"/>
    <mergeCell ref="G1123:G1124"/>
    <mergeCell ref="H1123:H1124"/>
    <mergeCell ref="I1123:I1124"/>
    <mergeCell ref="B1125:B1126"/>
    <mergeCell ref="G1125:G1126"/>
    <mergeCell ref="H1125:H1126"/>
    <mergeCell ref="I1125:I1126"/>
    <mergeCell ref="B1127:B1128"/>
    <mergeCell ref="G1127:G1128"/>
    <mergeCell ref="H1127:H1128"/>
    <mergeCell ref="B784:B785"/>
    <mergeCell ref="G784:G785"/>
    <mergeCell ref="H784:H785"/>
    <mergeCell ref="I784:I785"/>
    <mergeCell ref="B836:B837"/>
    <mergeCell ref="G836:G837"/>
    <mergeCell ref="G780:G781"/>
    <mergeCell ref="H780:H781"/>
    <mergeCell ref="I780:I781"/>
    <mergeCell ref="B782:B783"/>
    <mergeCell ref="H1129:H1130"/>
    <mergeCell ref="I1129:I1130"/>
    <mergeCell ref="B896:B897"/>
    <mergeCell ref="G896:G897"/>
    <mergeCell ref="H896:H897"/>
    <mergeCell ref="I896:I897"/>
    <mergeCell ref="B898:B899"/>
    <mergeCell ref="G898:G899"/>
    <mergeCell ref="H898:H899"/>
    <mergeCell ref="I898:I899"/>
    <mergeCell ref="B900:B901"/>
    <mergeCell ref="G900:G901"/>
    <mergeCell ref="H900:H901"/>
    <mergeCell ref="I900:I901"/>
    <mergeCell ref="B902:B903"/>
    <mergeCell ref="G902:G903"/>
    <mergeCell ref="H902:H903"/>
    <mergeCell ref="I902:I903"/>
    <mergeCell ref="B1119:B1120"/>
    <mergeCell ref="G1119:G1120"/>
    <mergeCell ref="H1119:H1120"/>
    <mergeCell ref="I1119:I1120"/>
    <mergeCell ref="I739:I740"/>
    <mergeCell ref="B741:B742"/>
    <mergeCell ref="G741:G742"/>
    <mergeCell ref="H741:H742"/>
    <mergeCell ref="I741:I742"/>
    <mergeCell ref="B743:B744"/>
    <mergeCell ref="G743:G744"/>
    <mergeCell ref="H743:H744"/>
    <mergeCell ref="I743:I744"/>
    <mergeCell ref="B745:B746"/>
    <mergeCell ref="G745:G746"/>
    <mergeCell ref="H745:H746"/>
    <mergeCell ref="I745:I746"/>
    <mergeCell ref="B747:B748"/>
    <mergeCell ref="G747:G748"/>
    <mergeCell ref="H747:H748"/>
    <mergeCell ref="I747:I748"/>
    <mergeCell ref="B693:B694"/>
    <mergeCell ref="I709:I710"/>
    <mergeCell ref="B711:B712"/>
    <mergeCell ref="G711:G712"/>
    <mergeCell ref="H711:H712"/>
    <mergeCell ref="I711:I712"/>
    <mergeCell ref="B733:B734"/>
    <mergeCell ref="G733:G734"/>
    <mergeCell ref="H733:H734"/>
    <mergeCell ref="I733:I734"/>
    <mergeCell ref="B713:B714"/>
    <mergeCell ref="G713:G714"/>
    <mergeCell ref="H713:H714"/>
    <mergeCell ref="I713:I714"/>
    <mergeCell ref="B735:B736"/>
    <mergeCell ref="G735:G736"/>
    <mergeCell ref="H735:H736"/>
    <mergeCell ref="I735:I736"/>
    <mergeCell ref="B729:B730"/>
    <mergeCell ref="G729:G730"/>
    <mergeCell ref="I717:I718"/>
    <mergeCell ref="I719:I720"/>
    <mergeCell ref="B721:B722"/>
    <mergeCell ref="G721:G722"/>
    <mergeCell ref="H721:H722"/>
    <mergeCell ref="I721:I722"/>
    <mergeCell ref="I615:I616"/>
    <mergeCell ref="B699:B700"/>
    <mergeCell ref="G699:G700"/>
    <mergeCell ref="H699:H700"/>
    <mergeCell ref="I699:I700"/>
    <mergeCell ref="B701:B702"/>
    <mergeCell ref="G701:G702"/>
    <mergeCell ref="H701:H702"/>
    <mergeCell ref="I701:I702"/>
    <mergeCell ref="B695:B696"/>
    <mergeCell ref="G695:G696"/>
    <mergeCell ref="H695:H696"/>
    <mergeCell ref="I695:I696"/>
    <mergeCell ref="B697:B698"/>
    <mergeCell ref="G697:G698"/>
    <mergeCell ref="H697:H698"/>
    <mergeCell ref="I697:I698"/>
    <mergeCell ref="H683:H684"/>
    <mergeCell ref="G685:G686"/>
    <mergeCell ref="H685:H686"/>
    <mergeCell ref="I685:I686"/>
    <mergeCell ref="B687:B688"/>
    <mergeCell ref="G687:G688"/>
    <mergeCell ref="H687:H688"/>
    <mergeCell ref="I687:I688"/>
    <mergeCell ref="B689:B690"/>
    <mergeCell ref="G689:G690"/>
    <mergeCell ref="H689:H690"/>
    <mergeCell ref="I689:I690"/>
    <mergeCell ref="I691:I692"/>
    <mergeCell ref="G693:G694"/>
    <mergeCell ref="H693:H694"/>
    <mergeCell ref="B543:B544"/>
    <mergeCell ref="G549:G550"/>
    <mergeCell ref="H549:H550"/>
    <mergeCell ref="B497:B498"/>
    <mergeCell ref="G491:G492"/>
    <mergeCell ref="H491:H492"/>
    <mergeCell ref="H639:H640"/>
    <mergeCell ref="I639:I640"/>
    <mergeCell ref="B641:B642"/>
    <mergeCell ref="G641:G642"/>
    <mergeCell ref="H641:H642"/>
    <mergeCell ref="I641:I642"/>
    <mergeCell ref="B643:B644"/>
    <mergeCell ref="G643:G644"/>
    <mergeCell ref="H643:H644"/>
    <mergeCell ref="I643:I644"/>
    <mergeCell ref="B645:B646"/>
    <mergeCell ref="G645:G646"/>
    <mergeCell ref="H645:H646"/>
    <mergeCell ref="I645:I646"/>
    <mergeCell ref="B555:B556"/>
    <mergeCell ref="B553:B554"/>
    <mergeCell ref="B523:B524"/>
    <mergeCell ref="B525:B526"/>
    <mergeCell ref="I525:I526"/>
    <mergeCell ref="B527:B528"/>
    <mergeCell ref="I555:I556"/>
    <mergeCell ref="B571:B572"/>
    <mergeCell ref="I565:I566"/>
    <mergeCell ref="B567:B568"/>
    <mergeCell ref="I523:I524"/>
    <mergeCell ref="G543:G544"/>
    <mergeCell ref="B535:B536"/>
    <mergeCell ref="G535:G536"/>
    <mergeCell ref="H535:H536"/>
    <mergeCell ref="I535:I536"/>
    <mergeCell ref="B537:B538"/>
    <mergeCell ref="G537:G538"/>
    <mergeCell ref="H537:H538"/>
    <mergeCell ref="I537:I538"/>
    <mergeCell ref="B539:B540"/>
    <mergeCell ref="G539:G540"/>
    <mergeCell ref="H539:H540"/>
    <mergeCell ref="I539:I540"/>
    <mergeCell ref="B541:B542"/>
    <mergeCell ref="G541:G542"/>
    <mergeCell ref="H541:H542"/>
    <mergeCell ref="I541:I542"/>
    <mergeCell ref="B521:B522"/>
    <mergeCell ref="G521:G522"/>
    <mergeCell ref="I338:I339"/>
    <mergeCell ref="H385:H386"/>
    <mergeCell ref="I385:I386"/>
    <mergeCell ref="B469:B470"/>
    <mergeCell ref="G469:G470"/>
    <mergeCell ref="H469:H470"/>
    <mergeCell ref="I469:I470"/>
    <mergeCell ref="G451:G452"/>
    <mergeCell ref="I403:I404"/>
    <mergeCell ref="G391:G392"/>
    <mergeCell ref="G465:G466"/>
    <mergeCell ref="H465:H466"/>
    <mergeCell ref="I465:I466"/>
    <mergeCell ref="B467:B468"/>
    <mergeCell ref="H413:H414"/>
    <mergeCell ref="G413:G414"/>
    <mergeCell ref="I417:I418"/>
    <mergeCell ref="B387:E387"/>
    <mergeCell ref="G393:G394"/>
    <mergeCell ref="B391:B392"/>
    <mergeCell ref="I393:I394"/>
    <mergeCell ref="B451:B452"/>
    <mergeCell ref="B393:B394"/>
    <mergeCell ref="B461:B462"/>
    <mergeCell ref="G461:G462"/>
    <mergeCell ref="I439:I440"/>
    <mergeCell ref="B421:B422"/>
    <mergeCell ref="B445:B446"/>
    <mergeCell ref="G445:G446"/>
    <mergeCell ref="H445:H446"/>
    <mergeCell ref="G415:G416"/>
    <mergeCell ref="H415:H416"/>
    <mergeCell ref="H163:H164"/>
    <mergeCell ref="I163:I164"/>
    <mergeCell ref="B165:B166"/>
    <mergeCell ref="G165:G166"/>
    <mergeCell ref="H165:H166"/>
    <mergeCell ref="I165:I166"/>
    <mergeCell ref="B167:B168"/>
    <mergeCell ref="G167:G168"/>
    <mergeCell ref="H167:H168"/>
    <mergeCell ref="I167:I168"/>
    <mergeCell ref="B169:B170"/>
    <mergeCell ref="G169:G170"/>
    <mergeCell ref="H169:H170"/>
    <mergeCell ref="I169:I170"/>
    <mergeCell ref="B173:E173"/>
    <mergeCell ref="B171:B172"/>
    <mergeCell ref="G371:G372"/>
    <mergeCell ref="H371:H372"/>
    <mergeCell ref="I371:I372"/>
    <mergeCell ref="B318:B319"/>
    <mergeCell ref="G318:G319"/>
    <mergeCell ref="H318:H319"/>
    <mergeCell ref="I318:I319"/>
    <mergeCell ref="B336:B337"/>
    <mergeCell ref="B348:B349"/>
    <mergeCell ref="G348:G349"/>
    <mergeCell ref="H348:H349"/>
    <mergeCell ref="I348:I349"/>
    <mergeCell ref="B328:B329"/>
    <mergeCell ref="G328:G329"/>
    <mergeCell ref="H328:H329"/>
    <mergeCell ref="B357:B358"/>
    <mergeCell ref="B1657:B1658"/>
    <mergeCell ref="G1657:G1658"/>
    <mergeCell ref="H1657:H1658"/>
    <mergeCell ref="I1657:I1658"/>
    <mergeCell ref="B888:B889"/>
    <mergeCell ref="G888:G889"/>
    <mergeCell ref="H888:H889"/>
    <mergeCell ref="I888:I889"/>
    <mergeCell ref="B1548:B1549"/>
    <mergeCell ref="G1548:G1549"/>
    <mergeCell ref="H1548:H1549"/>
    <mergeCell ref="I1548:I1549"/>
    <mergeCell ref="B1550:B1551"/>
    <mergeCell ref="G1550:G1551"/>
    <mergeCell ref="H1550:H1551"/>
    <mergeCell ref="I1550:I1551"/>
    <mergeCell ref="B373:B374"/>
    <mergeCell ref="G373:G374"/>
    <mergeCell ref="H373:H374"/>
    <mergeCell ref="I373:I374"/>
    <mergeCell ref="B375:B376"/>
    <mergeCell ref="G375:G376"/>
    <mergeCell ref="H375:H376"/>
    <mergeCell ref="I375:I376"/>
    <mergeCell ref="I415:I416"/>
    <mergeCell ref="B479:B480"/>
    <mergeCell ref="G479:G480"/>
    <mergeCell ref="H479:H480"/>
    <mergeCell ref="I479:I480"/>
    <mergeCell ref="I547:I548"/>
    <mergeCell ref="B549:B550"/>
    <mergeCell ref="I549:I550"/>
    <mergeCell ref="H1595:H1596"/>
    <mergeCell ref="I1595:I1596"/>
    <mergeCell ref="B1593:B1594"/>
    <mergeCell ref="G1593:G1594"/>
    <mergeCell ref="H1625:H1626"/>
    <mergeCell ref="I1625:I1626"/>
    <mergeCell ref="A1654:A1656"/>
    <mergeCell ref="H1593:H1594"/>
    <mergeCell ref="I1593:I1594"/>
    <mergeCell ref="B1589:B1590"/>
    <mergeCell ref="A156:A173"/>
    <mergeCell ref="B156:I156"/>
    <mergeCell ref="B157:B158"/>
    <mergeCell ref="G157:G158"/>
    <mergeCell ref="H157:H158"/>
    <mergeCell ref="I157:I158"/>
    <mergeCell ref="B159:B160"/>
    <mergeCell ref="G159:G160"/>
    <mergeCell ref="H159:H160"/>
    <mergeCell ref="I159:I160"/>
    <mergeCell ref="B161:B162"/>
    <mergeCell ref="G161:G162"/>
    <mergeCell ref="H161:H162"/>
    <mergeCell ref="I161:I162"/>
    <mergeCell ref="B163:B164"/>
    <mergeCell ref="G163:G164"/>
    <mergeCell ref="G171:G172"/>
    <mergeCell ref="H171:H172"/>
    <mergeCell ref="I171:I172"/>
    <mergeCell ref="B296:B297"/>
    <mergeCell ref="G296:G297"/>
    <mergeCell ref="H296:H297"/>
    <mergeCell ref="H836:H837"/>
    <mergeCell ref="I836:I837"/>
    <mergeCell ref="B838:B839"/>
    <mergeCell ref="G838:G839"/>
    <mergeCell ref="H838:H839"/>
    <mergeCell ref="I838:I839"/>
    <mergeCell ref="B1659:E1659"/>
    <mergeCell ref="B1554:B1555"/>
    <mergeCell ref="G1554:G1555"/>
    <mergeCell ref="H1554:H1555"/>
    <mergeCell ref="I1554:I1555"/>
    <mergeCell ref="B1556:B1557"/>
    <mergeCell ref="G1556:G1557"/>
    <mergeCell ref="H1556:H1557"/>
    <mergeCell ref="I1556:I1557"/>
    <mergeCell ref="B1558:B1559"/>
    <mergeCell ref="G1558:G1559"/>
    <mergeCell ref="H1558:H1559"/>
    <mergeCell ref="I1558:I1559"/>
    <mergeCell ref="B1560:B1561"/>
    <mergeCell ref="G1560:G1561"/>
    <mergeCell ref="H1560:H1561"/>
    <mergeCell ref="I1560:I1561"/>
    <mergeCell ref="B1611:E1611"/>
    <mergeCell ref="B1629:E1629"/>
    <mergeCell ref="B1633:E1633"/>
    <mergeCell ref="B1644:E1644"/>
    <mergeCell ref="B1647:E1647"/>
    <mergeCell ref="B1653:E1653"/>
    <mergeCell ref="B1656:E1656"/>
    <mergeCell ref="A1641:I1641"/>
    <mergeCell ref="A1645:A1647"/>
    <mergeCell ref="B1552:B1553"/>
    <mergeCell ref="G1552:G1553"/>
    <mergeCell ref="H1552:H1553"/>
    <mergeCell ref="I1552:I1553"/>
    <mergeCell ref="B878:B879"/>
    <mergeCell ref="G878:G879"/>
    <mergeCell ref="H878:H879"/>
    <mergeCell ref="I878:I879"/>
    <mergeCell ref="B880:B881"/>
    <mergeCell ref="G880:G881"/>
    <mergeCell ref="H880:H881"/>
    <mergeCell ref="I880:I881"/>
    <mergeCell ref="B882:B883"/>
    <mergeCell ref="G882:G883"/>
    <mergeCell ref="H882:H883"/>
    <mergeCell ref="I882:I883"/>
    <mergeCell ref="B884:B885"/>
    <mergeCell ref="B890:B891"/>
    <mergeCell ref="G890:G891"/>
    <mergeCell ref="H890:H891"/>
    <mergeCell ref="I890:I891"/>
    <mergeCell ref="B892:B893"/>
    <mergeCell ref="G892:G893"/>
    <mergeCell ref="H892:H893"/>
    <mergeCell ref="I892:I893"/>
    <mergeCell ref="B894:B895"/>
    <mergeCell ref="G894:G895"/>
    <mergeCell ref="H894:H895"/>
    <mergeCell ref="I894:I895"/>
    <mergeCell ref="G1041:G1042"/>
    <mergeCell ref="H1041:H1042"/>
    <mergeCell ref="I1041:I1042"/>
    <mergeCell ref="I703:I704"/>
    <mergeCell ref="G840:G841"/>
    <mergeCell ref="G731:G732"/>
    <mergeCell ref="B828:B829"/>
    <mergeCell ref="G828:G829"/>
    <mergeCell ref="B705:B706"/>
    <mergeCell ref="G705:G706"/>
    <mergeCell ref="H705:H706"/>
    <mergeCell ref="I705:I706"/>
    <mergeCell ref="B707:B708"/>
    <mergeCell ref="G707:G708"/>
    <mergeCell ref="H707:H708"/>
    <mergeCell ref="I707:I708"/>
    <mergeCell ref="B709:B710"/>
    <mergeCell ref="G709:G710"/>
    <mergeCell ref="A768:I768"/>
    <mergeCell ref="G727:G728"/>
    <mergeCell ref="H727:H728"/>
    <mergeCell ref="I727:I728"/>
    <mergeCell ref="H709:H710"/>
    <mergeCell ref="A773:A806"/>
    <mergeCell ref="B773:I773"/>
    <mergeCell ref="B774:B775"/>
    <mergeCell ref="A769:A772"/>
    <mergeCell ref="B755:B756"/>
    <mergeCell ref="B769:I769"/>
    <mergeCell ref="G719:G720"/>
    <mergeCell ref="H719:H720"/>
    <mergeCell ref="H840:H841"/>
    <mergeCell ref="I840:I841"/>
    <mergeCell ref="I828:I829"/>
    <mergeCell ref="B830:B831"/>
    <mergeCell ref="I256:I257"/>
    <mergeCell ref="B258:B259"/>
    <mergeCell ref="G258:G259"/>
    <mergeCell ref="H258:H259"/>
    <mergeCell ref="I258:I259"/>
    <mergeCell ref="B228:B229"/>
    <mergeCell ref="B242:B243"/>
    <mergeCell ref="B250:B251"/>
    <mergeCell ref="B284:B285"/>
    <mergeCell ref="G284:G285"/>
    <mergeCell ref="H284:H285"/>
    <mergeCell ref="I284:I285"/>
    <mergeCell ref="H278:H279"/>
    <mergeCell ref="I278:I279"/>
    <mergeCell ref="G282:G283"/>
    <mergeCell ref="G830:G831"/>
    <mergeCell ref="H830:H831"/>
    <mergeCell ref="I830:I831"/>
    <mergeCell ref="H755:H756"/>
    <mergeCell ref="I755:I756"/>
    <mergeCell ref="B757:B758"/>
    <mergeCell ref="G757:G758"/>
    <mergeCell ref="H757:H758"/>
    <mergeCell ref="I757:I758"/>
    <mergeCell ref="B765:B766"/>
    <mergeCell ref="G765:G766"/>
    <mergeCell ref="G320:G321"/>
    <mergeCell ref="H320:H321"/>
    <mergeCell ref="I320:I321"/>
    <mergeCell ref="B322:B323"/>
    <mergeCell ref="G322:G323"/>
    <mergeCell ref="H322:H323"/>
    <mergeCell ref="I204:I205"/>
    <mergeCell ref="G206:G207"/>
    <mergeCell ref="H206:H207"/>
    <mergeCell ref="I206:I207"/>
    <mergeCell ref="G208:G209"/>
    <mergeCell ref="H208:H209"/>
    <mergeCell ref="I208:I209"/>
    <mergeCell ref="G210:G211"/>
    <mergeCell ref="H210:H211"/>
    <mergeCell ref="I210:I211"/>
    <mergeCell ref="H220:H221"/>
    <mergeCell ref="I270:I271"/>
    <mergeCell ref="G228:G229"/>
    <mergeCell ref="H228:H229"/>
    <mergeCell ref="I228:I229"/>
    <mergeCell ref="I240:I241"/>
    <mergeCell ref="B252:B253"/>
    <mergeCell ref="G252:G253"/>
    <mergeCell ref="H252:H253"/>
    <mergeCell ref="G240:G241"/>
    <mergeCell ref="B260:B261"/>
    <mergeCell ref="G260:G261"/>
    <mergeCell ref="H260:H261"/>
    <mergeCell ref="H222:H223"/>
    <mergeCell ref="I252:I253"/>
    <mergeCell ref="B254:B255"/>
    <mergeCell ref="G254:G255"/>
    <mergeCell ref="H254:H255"/>
    <mergeCell ref="I254:I255"/>
    <mergeCell ref="B256:B257"/>
    <mergeCell ref="G256:G257"/>
    <mergeCell ref="H256:H257"/>
    <mergeCell ref="B1662:E1662"/>
    <mergeCell ref="B1671:E1671"/>
    <mergeCell ref="B1674:E1674"/>
    <mergeCell ref="A139:I139"/>
    <mergeCell ref="A140:A155"/>
    <mergeCell ref="B140:I140"/>
    <mergeCell ref="B141:B142"/>
    <mergeCell ref="G141:G142"/>
    <mergeCell ref="H141:H142"/>
    <mergeCell ref="I141:I142"/>
    <mergeCell ref="B143:B144"/>
    <mergeCell ref="G143:G144"/>
    <mergeCell ref="H143:H144"/>
    <mergeCell ref="I143:I144"/>
    <mergeCell ref="B145:B146"/>
    <mergeCell ref="G145:G146"/>
    <mergeCell ref="H145:H146"/>
    <mergeCell ref="I145:I146"/>
    <mergeCell ref="B147:B148"/>
    <mergeCell ref="G147:G148"/>
    <mergeCell ref="B286:B287"/>
    <mergeCell ref="G286:G287"/>
    <mergeCell ref="H286:H287"/>
    <mergeCell ref="I286:I287"/>
    <mergeCell ref="B288:B289"/>
    <mergeCell ref="G288:G289"/>
    <mergeCell ref="H288:H289"/>
    <mergeCell ref="I288:I289"/>
    <mergeCell ref="G218:G219"/>
    <mergeCell ref="H218:H219"/>
    <mergeCell ref="I218:I219"/>
    <mergeCell ref="G204:G205"/>
    <mergeCell ref="A1447:A1464"/>
    <mergeCell ref="B1447:I1447"/>
    <mergeCell ref="B1448:B1449"/>
    <mergeCell ref="G1448:G1449"/>
    <mergeCell ref="H1448:H1449"/>
    <mergeCell ref="I1448:I1449"/>
    <mergeCell ref="B1450:B1451"/>
    <mergeCell ref="G1450:G1451"/>
    <mergeCell ref="H1450:H1451"/>
    <mergeCell ref="I1450:I1451"/>
    <mergeCell ref="B1452:B1453"/>
    <mergeCell ref="G1452:G1453"/>
    <mergeCell ref="H1452:H1453"/>
    <mergeCell ref="I1452:I1453"/>
    <mergeCell ref="B1454:B1455"/>
    <mergeCell ref="G1454:G1455"/>
    <mergeCell ref="H1454:H1455"/>
    <mergeCell ref="I1454:I1455"/>
    <mergeCell ref="B1456:B1457"/>
    <mergeCell ref="G1456:G1457"/>
    <mergeCell ref="H1456:H1457"/>
    <mergeCell ref="I1456:I1457"/>
    <mergeCell ref="B1458:B1459"/>
    <mergeCell ref="G1458:G1459"/>
    <mergeCell ref="H1458:H1459"/>
    <mergeCell ref="I1458:I1459"/>
    <mergeCell ref="B1464:E1464"/>
    <mergeCell ref="B1460:B1461"/>
    <mergeCell ref="G1460:G1461"/>
    <mergeCell ref="H1460:H1461"/>
    <mergeCell ref="I1460:I1461"/>
    <mergeCell ref="B1462:B1463"/>
    <mergeCell ref="A1429:A1446"/>
    <mergeCell ref="B1429:I1429"/>
    <mergeCell ref="B1430:B1431"/>
    <mergeCell ref="G1430:G1431"/>
    <mergeCell ref="H1430:H1431"/>
    <mergeCell ref="I1430:I1431"/>
    <mergeCell ref="B1432:B1433"/>
    <mergeCell ref="G1432:G1433"/>
    <mergeCell ref="H1432:H1433"/>
    <mergeCell ref="I1432:I1433"/>
    <mergeCell ref="B1434:B1435"/>
    <mergeCell ref="G1434:G1435"/>
    <mergeCell ref="H1434:H1435"/>
    <mergeCell ref="I1434:I1435"/>
    <mergeCell ref="B1436:B1437"/>
    <mergeCell ref="G1436:G1437"/>
    <mergeCell ref="H1436:H1437"/>
    <mergeCell ref="I1436:I1437"/>
    <mergeCell ref="B1438:B1439"/>
    <mergeCell ref="G1438:G1439"/>
    <mergeCell ref="H1438:H1439"/>
    <mergeCell ref="I1438:I1439"/>
    <mergeCell ref="B1440:B1441"/>
    <mergeCell ref="G1440:G1441"/>
    <mergeCell ref="H1440:H1441"/>
    <mergeCell ref="I1440:I1441"/>
    <mergeCell ref="B1446:E1446"/>
    <mergeCell ref="B1444:B1445"/>
    <mergeCell ref="G1444:G1445"/>
    <mergeCell ref="H1444:H1445"/>
    <mergeCell ref="I1444:I1445"/>
    <mergeCell ref="I1442:I1443"/>
    <mergeCell ref="A1391:A1428"/>
    <mergeCell ref="B1391:I1391"/>
    <mergeCell ref="B1392:B1393"/>
    <mergeCell ref="G1392:G1393"/>
    <mergeCell ref="H1392:H1393"/>
    <mergeCell ref="I1392:I1393"/>
    <mergeCell ref="B1394:B1395"/>
    <mergeCell ref="G1394:G1395"/>
    <mergeCell ref="H1394:H1395"/>
    <mergeCell ref="I1394:I1395"/>
    <mergeCell ref="B1396:B1397"/>
    <mergeCell ref="G1396:G1397"/>
    <mergeCell ref="H1396:H1397"/>
    <mergeCell ref="I1396:I1397"/>
    <mergeCell ref="B1398:B1399"/>
    <mergeCell ref="G1398:G1399"/>
    <mergeCell ref="H1398:H1399"/>
    <mergeCell ref="I1398:I1399"/>
    <mergeCell ref="B1400:B1401"/>
    <mergeCell ref="G1400:G1401"/>
    <mergeCell ref="H1400:H1401"/>
    <mergeCell ref="I1400:I1401"/>
    <mergeCell ref="B1402:B1403"/>
    <mergeCell ref="G1402:G1403"/>
    <mergeCell ref="H1402:H1403"/>
    <mergeCell ref="I1402:I1403"/>
    <mergeCell ref="B1428:E1428"/>
    <mergeCell ref="B1412:B1413"/>
    <mergeCell ref="G1412:G1413"/>
    <mergeCell ref="H1412:H1413"/>
    <mergeCell ref="I1412:I1413"/>
    <mergeCell ref="B1418:B1419"/>
    <mergeCell ref="G1360:G1361"/>
    <mergeCell ref="H1360:H1361"/>
    <mergeCell ref="I1360:I1361"/>
    <mergeCell ref="B1362:B1363"/>
    <mergeCell ref="G1362:G1363"/>
    <mergeCell ref="H1362:H1363"/>
    <mergeCell ref="I1362:I1363"/>
    <mergeCell ref="B1364:B1365"/>
    <mergeCell ref="G1364:G1365"/>
    <mergeCell ref="H1364:H1365"/>
    <mergeCell ref="I1364:I1365"/>
    <mergeCell ref="B1320:B1321"/>
    <mergeCell ref="G1320:G1321"/>
    <mergeCell ref="H1320:H1321"/>
    <mergeCell ref="I1320:I1321"/>
    <mergeCell ref="B1322:B1323"/>
    <mergeCell ref="G1322:G1323"/>
    <mergeCell ref="H1322:H1323"/>
    <mergeCell ref="I1322:I1323"/>
    <mergeCell ref="B1324:B1325"/>
    <mergeCell ref="G1324:G1325"/>
    <mergeCell ref="H1324:H1325"/>
    <mergeCell ref="I1324:I1325"/>
    <mergeCell ref="B1326:B1327"/>
    <mergeCell ref="G1326:G1327"/>
    <mergeCell ref="H1326:H1327"/>
    <mergeCell ref="I1326:I1327"/>
    <mergeCell ref="B1354:B1355"/>
    <mergeCell ref="G1354:G1355"/>
    <mergeCell ref="H1354:H1355"/>
    <mergeCell ref="I1354:I1355"/>
    <mergeCell ref="B1330:B1331"/>
    <mergeCell ref="B1275:B1276"/>
    <mergeCell ref="G1275:G1276"/>
    <mergeCell ref="H1275:H1276"/>
    <mergeCell ref="I1275:I1276"/>
    <mergeCell ref="G1330:G1331"/>
    <mergeCell ref="H1330:H1331"/>
    <mergeCell ref="I1330:I1331"/>
    <mergeCell ref="H1299:H1300"/>
    <mergeCell ref="I1299:I1300"/>
    <mergeCell ref="B1301:B1302"/>
    <mergeCell ref="G1301:G1302"/>
    <mergeCell ref="B1303:B1304"/>
    <mergeCell ref="G1303:G1304"/>
    <mergeCell ref="H1303:H1304"/>
    <mergeCell ref="I1303:I1304"/>
    <mergeCell ref="B1309:E1309"/>
    <mergeCell ref="B1316:B1317"/>
    <mergeCell ref="G1316:G1317"/>
    <mergeCell ref="H1316:H1317"/>
    <mergeCell ref="I1316:I1317"/>
    <mergeCell ref="B1318:B1319"/>
    <mergeCell ref="G1318:G1319"/>
    <mergeCell ref="H1318:H1319"/>
    <mergeCell ref="I1318:I1319"/>
    <mergeCell ref="G1311:G1312"/>
    <mergeCell ref="H1311:H1312"/>
    <mergeCell ref="I1311:I1312"/>
    <mergeCell ref="B1311:B1312"/>
    <mergeCell ref="I1301:I1302"/>
    <mergeCell ref="B1285:B1286"/>
    <mergeCell ref="G1285:G1286"/>
    <mergeCell ref="H1285:H1286"/>
    <mergeCell ref="B1257:B1258"/>
    <mergeCell ref="G1257:G1258"/>
    <mergeCell ref="H1257:H1258"/>
    <mergeCell ref="I1257:I1258"/>
    <mergeCell ref="B1259:B1260"/>
    <mergeCell ref="G1259:G1260"/>
    <mergeCell ref="H1259:H1260"/>
    <mergeCell ref="I1259:I1260"/>
    <mergeCell ref="B1261:B1262"/>
    <mergeCell ref="G1261:G1262"/>
    <mergeCell ref="H1261:H1262"/>
    <mergeCell ref="I1261:I1262"/>
    <mergeCell ref="B1263:B1264"/>
    <mergeCell ref="G1263:G1264"/>
    <mergeCell ref="H1263:H1264"/>
    <mergeCell ref="I1263:I1264"/>
    <mergeCell ref="A1292:A1309"/>
    <mergeCell ref="B1292:I1292"/>
    <mergeCell ref="B1293:B1294"/>
    <mergeCell ref="G1293:G1294"/>
    <mergeCell ref="H1293:H1294"/>
    <mergeCell ref="I1293:I1294"/>
    <mergeCell ref="B1295:B1296"/>
    <mergeCell ref="G1295:G1296"/>
    <mergeCell ref="H1295:H1296"/>
    <mergeCell ref="I1295:I1296"/>
    <mergeCell ref="B1297:B1298"/>
    <mergeCell ref="G1297:G1298"/>
    <mergeCell ref="H1297:H1298"/>
    <mergeCell ref="I1297:I1298"/>
    <mergeCell ref="B1299:B1300"/>
    <mergeCell ref="G1299:G1300"/>
    <mergeCell ref="I1245:I1246"/>
    <mergeCell ref="B1255:B1256"/>
    <mergeCell ref="G1255:G1256"/>
    <mergeCell ref="H1255:H1256"/>
    <mergeCell ref="I1255:I1256"/>
    <mergeCell ref="B1247:B1248"/>
    <mergeCell ref="G1247:G1248"/>
    <mergeCell ref="H1247:H1248"/>
    <mergeCell ref="I1247:I1248"/>
    <mergeCell ref="B1249:B1250"/>
    <mergeCell ref="G1249:G1250"/>
    <mergeCell ref="H1249:H1250"/>
    <mergeCell ref="I1249:I1250"/>
    <mergeCell ref="G1253:G1254"/>
    <mergeCell ref="H1253:H1254"/>
    <mergeCell ref="I1253:I1254"/>
    <mergeCell ref="B1176:B1177"/>
    <mergeCell ref="G1176:G1177"/>
    <mergeCell ref="H1176:H1177"/>
    <mergeCell ref="I1176:I1177"/>
    <mergeCell ref="H1194:H1195"/>
    <mergeCell ref="I1194:I1195"/>
    <mergeCell ref="B1196:B1197"/>
    <mergeCell ref="G1196:G1197"/>
    <mergeCell ref="A1216:A1233"/>
    <mergeCell ref="B1216:I1216"/>
    <mergeCell ref="B1217:B1218"/>
    <mergeCell ref="G1217:G1218"/>
    <mergeCell ref="H1217:H1218"/>
    <mergeCell ref="I1217:I1218"/>
    <mergeCell ref="B1233:E1233"/>
    <mergeCell ref="B1219:B1220"/>
    <mergeCell ref="G1219:G1220"/>
    <mergeCell ref="H1219:H1220"/>
    <mergeCell ref="I1219:I1220"/>
    <mergeCell ref="B1221:B1222"/>
    <mergeCell ref="G1221:G1222"/>
    <mergeCell ref="H1221:H1222"/>
    <mergeCell ref="I1221:I1222"/>
    <mergeCell ref="B1223:B1224"/>
    <mergeCell ref="G1223:G1224"/>
    <mergeCell ref="A919:A938"/>
    <mergeCell ref="B919:I919"/>
    <mergeCell ref="B920:B921"/>
    <mergeCell ref="G920:G921"/>
    <mergeCell ref="H920:H921"/>
    <mergeCell ref="I920:I921"/>
    <mergeCell ref="B938:E938"/>
    <mergeCell ref="B928:B929"/>
    <mergeCell ref="G928:G929"/>
    <mergeCell ref="H928:H929"/>
    <mergeCell ref="I928:I929"/>
    <mergeCell ref="B930:B931"/>
    <mergeCell ref="G930:G931"/>
    <mergeCell ref="H930:H931"/>
    <mergeCell ref="I930:I931"/>
    <mergeCell ref="H1039:H1040"/>
    <mergeCell ref="I1039:I1040"/>
    <mergeCell ref="A1012:A1015"/>
    <mergeCell ref="B1012:I1012"/>
    <mergeCell ref="G1031:G1032"/>
    <mergeCell ref="H1031:H1032"/>
    <mergeCell ref="I1031:I1032"/>
    <mergeCell ref="B1013:B1014"/>
    <mergeCell ref="G1013:G1014"/>
    <mergeCell ref="H1013:H1014"/>
    <mergeCell ref="I1013:I1014"/>
    <mergeCell ref="B1037:B1038"/>
    <mergeCell ref="G1037:G1038"/>
    <mergeCell ref="H1037:H1038"/>
    <mergeCell ref="I1037:I1038"/>
    <mergeCell ref="B990:B991"/>
    <mergeCell ref="G990:G991"/>
    <mergeCell ref="A31:A48"/>
    <mergeCell ref="B31:I31"/>
    <mergeCell ref="B32:B33"/>
    <mergeCell ref="G32:G33"/>
    <mergeCell ref="H32:H33"/>
    <mergeCell ref="I32:I33"/>
    <mergeCell ref="B48:E48"/>
    <mergeCell ref="B34:B35"/>
    <mergeCell ref="G34:G35"/>
    <mergeCell ref="H34:H35"/>
    <mergeCell ref="I34:I35"/>
    <mergeCell ref="B36:B37"/>
    <mergeCell ref="G36:G37"/>
    <mergeCell ref="H36:H37"/>
    <mergeCell ref="I36:I37"/>
    <mergeCell ref="B38:B39"/>
    <mergeCell ref="G38:G39"/>
    <mergeCell ref="H38:H39"/>
    <mergeCell ref="I38:I39"/>
    <mergeCell ref="B40:B41"/>
    <mergeCell ref="G40:G41"/>
    <mergeCell ref="H40:H41"/>
    <mergeCell ref="I40:I41"/>
    <mergeCell ref="G42:G43"/>
    <mergeCell ref="H42:H43"/>
    <mergeCell ref="I42:I43"/>
    <mergeCell ref="B44:B45"/>
    <mergeCell ref="G44:G45"/>
    <mergeCell ref="H44:H45"/>
    <mergeCell ref="H1196:H1197"/>
    <mergeCell ref="I1196:I1197"/>
    <mergeCell ref="B1182:B1183"/>
    <mergeCell ref="G1182:G1183"/>
    <mergeCell ref="H1182:H1183"/>
    <mergeCell ref="I1182:I1183"/>
    <mergeCell ref="B1184:B1185"/>
    <mergeCell ref="G1184:G1185"/>
    <mergeCell ref="H1184:H1185"/>
    <mergeCell ref="I1184:I1185"/>
    <mergeCell ref="B1186:B1187"/>
    <mergeCell ref="G1186:G1187"/>
    <mergeCell ref="H1186:H1187"/>
    <mergeCell ref="I1186:I1187"/>
    <mergeCell ref="B1188:B1189"/>
    <mergeCell ref="B1190:B1191"/>
    <mergeCell ref="G1190:G1191"/>
    <mergeCell ref="H1190:H1191"/>
    <mergeCell ref="I1190:I1191"/>
    <mergeCell ref="G1188:G1189"/>
    <mergeCell ref="H1188:H1189"/>
    <mergeCell ref="I1188:I1189"/>
    <mergeCell ref="B1194:B1195"/>
    <mergeCell ref="G1194:G1195"/>
    <mergeCell ref="I44:I45"/>
    <mergeCell ref="B46:B47"/>
    <mergeCell ref="G46:G47"/>
    <mergeCell ref="B1192:B1193"/>
    <mergeCell ref="G1192:G1193"/>
    <mergeCell ref="H1192:H1193"/>
    <mergeCell ref="I1192:I1193"/>
    <mergeCell ref="H1152:H1153"/>
    <mergeCell ref="I1152:I1153"/>
    <mergeCell ref="G202:G203"/>
    <mergeCell ref="I202:I203"/>
    <mergeCell ref="B204:B205"/>
    <mergeCell ref="B120:B121"/>
    <mergeCell ref="G120:G121"/>
    <mergeCell ref="H120:H121"/>
    <mergeCell ref="I120:I121"/>
    <mergeCell ref="B122:B123"/>
    <mergeCell ref="G122:G123"/>
    <mergeCell ref="H122:H123"/>
    <mergeCell ref="I122:I123"/>
    <mergeCell ref="B124:B125"/>
    <mergeCell ref="G1043:G1044"/>
    <mergeCell ref="H1043:H1044"/>
    <mergeCell ref="G1045:G1046"/>
    <mergeCell ref="H1045:H1046"/>
    <mergeCell ref="I1045:I1046"/>
    <mergeCell ref="B1154:B1155"/>
    <mergeCell ref="G1156:G1157"/>
    <mergeCell ref="B1129:B1130"/>
    <mergeCell ref="G1129:G1130"/>
    <mergeCell ref="I294:I295"/>
    <mergeCell ref="H204:H205"/>
    <mergeCell ref="I1115:I1116"/>
    <mergeCell ref="H1101:H1102"/>
    <mergeCell ref="H1117:H1118"/>
    <mergeCell ref="I1117:I1118"/>
    <mergeCell ref="B1105:B1106"/>
    <mergeCell ref="G1105:G1106"/>
    <mergeCell ref="H1105:H1106"/>
    <mergeCell ref="I1105:I1106"/>
    <mergeCell ref="H1156:H1157"/>
    <mergeCell ref="I1156:I1157"/>
    <mergeCell ref="B1181:I1181"/>
    <mergeCell ref="B842:B843"/>
    <mergeCell ref="G842:G843"/>
    <mergeCell ref="H842:H843"/>
    <mergeCell ref="I842:I843"/>
    <mergeCell ref="B1156:B1157"/>
    <mergeCell ref="H922:H923"/>
    <mergeCell ref="I922:I923"/>
    <mergeCell ref="B924:B925"/>
    <mergeCell ref="G924:G925"/>
    <mergeCell ref="H924:H925"/>
    <mergeCell ref="I924:I925"/>
    <mergeCell ref="B926:B927"/>
    <mergeCell ref="G926:G927"/>
    <mergeCell ref="H926:H927"/>
    <mergeCell ref="I926:I927"/>
    <mergeCell ref="B1041:B1042"/>
    <mergeCell ref="H1069:H1070"/>
    <mergeCell ref="I1069:I1070"/>
    <mergeCell ref="B1039:B1040"/>
    <mergeCell ref="G1057:G1058"/>
    <mergeCell ref="B1059:B1060"/>
    <mergeCell ref="B840:B841"/>
    <mergeCell ref="B703:B704"/>
    <mergeCell ref="G703:G704"/>
    <mergeCell ref="H703:H704"/>
    <mergeCell ref="B1152:B1153"/>
    <mergeCell ref="G1152:G1153"/>
    <mergeCell ref="B1053:B1054"/>
    <mergeCell ref="G1053:G1054"/>
    <mergeCell ref="I1162:I1163"/>
    <mergeCell ref="I1107:I1108"/>
    <mergeCell ref="G1081:G1082"/>
    <mergeCell ref="H1081:H1082"/>
    <mergeCell ref="I1065:I1066"/>
    <mergeCell ref="B1061:B1062"/>
    <mergeCell ref="B1077:B1078"/>
    <mergeCell ref="G1077:G1078"/>
    <mergeCell ref="H1077:H1078"/>
    <mergeCell ref="G1079:G1080"/>
    <mergeCell ref="H1079:H1080"/>
    <mergeCell ref="I1160:I1161"/>
    <mergeCell ref="I1059:I1060"/>
    <mergeCell ref="B1055:B1056"/>
    <mergeCell ref="H1109:H1110"/>
    <mergeCell ref="I1109:I1110"/>
    <mergeCell ref="B1111:B1112"/>
    <mergeCell ref="G1111:G1112"/>
    <mergeCell ref="H1111:H1112"/>
    <mergeCell ref="I1111:I1112"/>
    <mergeCell ref="B1113:B1114"/>
    <mergeCell ref="G1113:G1114"/>
    <mergeCell ref="H1113:H1114"/>
    <mergeCell ref="I1113:I1114"/>
    <mergeCell ref="H770:H771"/>
    <mergeCell ref="G659:G660"/>
    <mergeCell ref="H659:H660"/>
    <mergeCell ref="I659:I660"/>
    <mergeCell ref="B679:B680"/>
    <mergeCell ref="G679:G680"/>
    <mergeCell ref="I761:I762"/>
    <mergeCell ref="G818:G819"/>
    <mergeCell ref="H818:H819"/>
    <mergeCell ref="I818:I819"/>
    <mergeCell ref="B759:B760"/>
    <mergeCell ref="G759:G760"/>
    <mergeCell ref="H759:H760"/>
    <mergeCell ref="I759:I760"/>
    <mergeCell ref="B761:B762"/>
    <mergeCell ref="B723:B724"/>
    <mergeCell ref="G723:G724"/>
    <mergeCell ref="H723:H724"/>
    <mergeCell ref="I723:I724"/>
    <mergeCell ref="B725:B726"/>
    <mergeCell ref="G725:G726"/>
    <mergeCell ref="H725:H726"/>
    <mergeCell ref="I725:I726"/>
    <mergeCell ref="B691:B692"/>
    <mergeCell ref="I665:I666"/>
    <mergeCell ref="G774:G775"/>
    <mergeCell ref="H774:H775"/>
    <mergeCell ref="I774:I775"/>
    <mergeCell ref="B806:E806"/>
    <mergeCell ref="B776:B777"/>
    <mergeCell ref="G776:G777"/>
    <mergeCell ref="B780:B781"/>
    <mergeCell ref="G250:G251"/>
    <mergeCell ref="B249:I249"/>
    <mergeCell ref="G996:G997"/>
    <mergeCell ref="H996:H997"/>
    <mergeCell ref="I996:I997"/>
    <mergeCell ref="B998:B999"/>
    <mergeCell ref="G998:G999"/>
    <mergeCell ref="H998:H999"/>
    <mergeCell ref="I998:I999"/>
    <mergeCell ref="B1000:B1001"/>
    <mergeCell ref="G1000:G1001"/>
    <mergeCell ref="B994:B995"/>
    <mergeCell ref="G994:G995"/>
    <mergeCell ref="B986:B987"/>
    <mergeCell ref="G986:G987"/>
    <mergeCell ref="H986:H987"/>
    <mergeCell ref="I986:I987"/>
    <mergeCell ref="B988:B989"/>
    <mergeCell ref="G988:G989"/>
    <mergeCell ref="H988:H989"/>
    <mergeCell ref="I994:I995"/>
    <mergeCell ref="H990:H991"/>
    <mergeCell ref="I990:I991"/>
    <mergeCell ref="B992:B993"/>
    <mergeCell ref="G992:G993"/>
    <mergeCell ref="H992:H993"/>
    <mergeCell ref="I992:I993"/>
    <mergeCell ref="B984:B985"/>
    <mergeCell ref="G984:G985"/>
    <mergeCell ref="H984:H985"/>
    <mergeCell ref="B959:I959"/>
    <mergeCell ref="H828:H829"/>
    <mergeCell ref="I266:I267"/>
    <mergeCell ref="B268:B269"/>
    <mergeCell ref="G268:G269"/>
    <mergeCell ref="H268:H269"/>
    <mergeCell ref="I268:I269"/>
    <mergeCell ref="B270:B271"/>
    <mergeCell ref="G270:G271"/>
    <mergeCell ref="H270:H271"/>
    <mergeCell ref="H314:H315"/>
    <mergeCell ref="B290:B291"/>
    <mergeCell ref="G290:G291"/>
    <mergeCell ref="H290:H291"/>
    <mergeCell ref="I290:I291"/>
    <mergeCell ref="B292:B293"/>
    <mergeCell ref="B661:B662"/>
    <mergeCell ref="G661:G662"/>
    <mergeCell ref="H661:H662"/>
    <mergeCell ref="B306:B307"/>
    <mergeCell ref="I322:I323"/>
    <mergeCell ref="I296:I297"/>
    <mergeCell ref="B298:B299"/>
    <mergeCell ref="G298:G299"/>
    <mergeCell ref="H298:H299"/>
    <mergeCell ref="I298:I299"/>
    <mergeCell ref="B371:B372"/>
    <mergeCell ref="G367:G368"/>
    <mergeCell ref="H355:H356"/>
    <mergeCell ref="B363:B364"/>
    <mergeCell ref="G363:G364"/>
    <mergeCell ref="H363:H364"/>
    <mergeCell ref="H338:H339"/>
    <mergeCell ref="B326:B327"/>
    <mergeCell ref="G1530:G1531"/>
    <mergeCell ref="H1530:H1531"/>
    <mergeCell ref="I1530:I1531"/>
    <mergeCell ref="A1584:A1611"/>
    <mergeCell ref="A1612:A1629"/>
    <mergeCell ref="B1612:I1612"/>
    <mergeCell ref="B1613:B1614"/>
    <mergeCell ref="H1524:H1525"/>
    <mergeCell ref="A353:I353"/>
    <mergeCell ref="I355:I356"/>
    <mergeCell ref="G359:G360"/>
    <mergeCell ref="H359:H360"/>
    <mergeCell ref="B350:B351"/>
    <mergeCell ref="G350:G351"/>
    <mergeCell ref="H461:H462"/>
    <mergeCell ref="H489:H490"/>
    <mergeCell ref="G403:G404"/>
    <mergeCell ref="G419:G420"/>
    <mergeCell ref="B719:B720"/>
    <mergeCell ref="H369:H370"/>
    <mergeCell ref="I395:I396"/>
    <mergeCell ref="I441:I442"/>
    <mergeCell ref="H515:H516"/>
    <mergeCell ref="G691:G692"/>
    <mergeCell ref="H691:H692"/>
    <mergeCell ref="G585:G586"/>
    <mergeCell ref="B603:B604"/>
    <mergeCell ref="A1520:I1520"/>
    <mergeCell ref="B673:B674"/>
    <mergeCell ref="I681:I682"/>
    <mergeCell ref="G782:G783"/>
    <mergeCell ref="G761:G762"/>
    <mergeCell ref="A1672:A1674"/>
    <mergeCell ref="B1672:B1673"/>
    <mergeCell ref="G1672:G1673"/>
    <mergeCell ref="H1672:H1673"/>
    <mergeCell ref="I1672:I1673"/>
    <mergeCell ref="B1645:B1646"/>
    <mergeCell ref="B1651:B1652"/>
    <mergeCell ref="B1654:B1655"/>
    <mergeCell ref="B1660:B1661"/>
    <mergeCell ref="B1669:B1670"/>
    <mergeCell ref="A750:A767"/>
    <mergeCell ref="B750:I750"/>
    <mergeCell ref="B751:B752"/>
    <mergeCell ref="G751:G752"/>
    <mergeCell ref="H751:H752"/>
    <mergeCell ref="I751:I752"/>
    <mergeCell ref="H1071:H1072"/>
    <mergeCell ref="I1071:I1072"/>
    <mergeCell ref="B1538:B1539"/>
    <mergeCell ref="B960:B961"/>
    <mergeCell ref="G1538:G1539"/>
    <mergeCell ref="H1538:H1539"/>
    <mergeCell ref="I1538:I1539"/>
    <mergeCell ref="B1540:B1541"/>
    <mergeCell ref="G1540:G1541"/>
    <mergeCell ref="H1540:H1541"/>
    <mergeCell ref="B822:B823"/>
    <mergeCell ref="G820:G821"/>
    <mergeCell ref="H820:H821"/>
    <mergeCell ref="I820:I821"/>
    <mergeCell ref="H1654:H1655"/>
    <mergeCell ref="B1663:B1664"/>
    <mergeCell ref="B198:B199"/>
    <mergeCell ref="G198:G199"/>
    <mergeCell ref="B274:B275"/>
    <mergeCell ref="G274:G275"/>
    <mergeCell ref="H274:H275"/>
    <mergeCell ref="B272:B273"/>
    <mergeCell ref="H463:H464"/>
    <mergeCell ref="A88:A91"/>
    <mergeCell ref="A100:A105"/>
    <mergeCell ref="B100:I100"/>
    <mergeCell ref="H101:H102"/>
    <mergeCell ref="I101:I102"/>
    <mergeCell ref="B101:B102"/>
    <mergeCell ref="B89:B90"/>
    <mergeCell ref="A92:A95"/>
    <mergeCell ref="H89:H90"/>
    <mergeCell ref="H97:H98"/>
    <mergeCell ref="I97:I98"/>
    <mergeCell ref="H128:H129"/>
    <mergeCell ref="I128:I129"/>
    <mergeCell ref="I149:I150"/>
    <mergeCell ref="B151:B152"/>
    <mergeCell ref="G151:G152"/>
    <mergeCell ref="H151:H152"/>
    <mergeCell ref="G128:G129"/>
    <mergeCell ref="I151:I152"/>
    <mergeCell ref="G124:G125"/>
    <mergeCell ref="H124:H125"/>
    <mergeCell ref="I124:I125"/>
    <mergeCell ref="B126:B127"/>
    <mergeCell ref="G126:G127"/>
    <mergeCell ref="H126:H127"/>
    <mergeCell ref="I531:I532"/>
    <mergeCell ref="I529:I530"/>
    <mergeCell ref="B529:B530"/>
    <mergeCell ref="G529:G530"/>
    <mergeCell ref="H447:H448"/>
    <mergeCell ref="I447:I448"/>
    <mergeCell ref="A301:A332"/>
    <mergeCell ref="B301:I301"/>
    <mergeCell ref="B302:B303"/>
    <mergeCell ref="G302:G303"/>
    <mergeCell ref="H302:H303"/>
    <mergeCell ref="A333:A352"/>
    <mergeCell ref="B333:I333"/>
    <mergeCell ref="G336:G337"/>
    <mergeCell ref="H336:H337"/>
    <mergeCell ref="G503:G504"/>
    <mergeCell ref="H503:H504"/>
    <mergeCell ref="G369:G370"/>
    <mergeCell ref="I328:I329"/>
    <mergeCell ref="B324:B325"/>
    <mergeCell ref="G324:G325"/>
    <mergeCell ref="H324:H325"/>
    <mergeCell ref="I324:I325"/>
    <mergeCell ref="B312:B313"/>
    <mergeCell ref="G312:G313"/>
    <mergeCell ref="H312:H313"/>
    <mergeCell ref="I312:I313"/>
    <mergeCell ref="B314:B315"/>
    <mergeCell ref="G314:G315"/>
    <mergeCell ref="G326:G327"/>
    <mergeCell ref="H326:H327"/>
    <mergeCell ref="I326:I327"/>
    <mergeCell ref="H673:H674"/>
    <mergeCell ref="I673:I674"/>
    <mergeCell ref="B939:I939"/>
    <mergeCell ref="H567:H568"/>
    <mergeCell ref="H1073:H1074"/>
    <mergeCell ref="I1073:I1074"/>
    <mergeCell ref="H1055:H1056"/>
    <mergeCell ref="I1055:I1056"/>
    <mergeCell ref="I661:I662"/>
    <mergeCell ref="H663:H664"/>
    <mergeCell ref="I663:I664"/>
    <mergeCell ref="B1033:B1034"/>
    <mergeCell ref="G1033:G1034"/>
    <mergeCell ref="H1033:H1034"/>
    <mergeCell ref="I1033:I1034"/>
    <mergeCell ref="I651:I652"/>
    <mergeCell ref="B655:B656"/>
    <mergeCell ref="B976:B977"/>
    <mergeCell ref="G976:G977"/>
    <mergeCell ref="H976:H977"/>
    <mergeCell ref="B807:I807"/>
    <mergeCell ref="H583:H584"/>
    <mergeCell ref="B575:B576"/>
    <mergeCell ref="I573:I574"/>
    <mergeCell ref="B613:B614"/>
    <mergeCell ref="B671:B672"/>
    <mergeCell ref="G671:G672"/>
    <mergeCell ref="H717:H718"/>
    <mergeCell ref="B681:B682"/>
    <mergeCell ref="G681:G682"/>
    <mergeCell ref="H681:H682"/>
    <mergeCell ref="G822:G823"/>
    <mergeCell ref="I1663:I1664"/>
    <mergeCell ref="B1665:E1665"/>
    <mergeCell ref="A1666:A1668"/>
    <mergeCell ref="B1666:B1667"/>
    <mergeCell ref="G1666:G1667"/>
    <mergeCell ref="H1666:H1667"/>
    <mergeCell ref="I1666:I1667"/>
    <mergeCell ref="B1668:E1668"/>
    <mergeCell ref="A1657:A1659"/>
    <mergeCell ref="G960:G961"/>
    <mergeCell ref="H960:H961"/>
    <mergeCell ref="I1540:I1541"/>
    <mergeCell ref="A1642:A1644"/>
    <mergeCell ref="B1642:B1643"/>
    <mergeCell ref="G1642:G1643"/>
    <mergeCell ref="H1642:H1643"/>
    <mergeCell ref="I1642:I1643"/>
    <mergeCell ref="I1524:I1525"/>
    <mergeCell ref="B1528:B1529"/>
    <mergeCell ref="G1528:G1529"/>
    <mergeCell ref="G1585:G1586"/>
    <mergeCell ref="H1585:H1586"/>
    <mergeCell ref="I1585:I1586"/>
    <mergeCell ref="B1595:B1596"/>
    <mergeCell ref="G1595:G1596"/>
    <mergeCell ref="H1162:H1163"/>
    <mergeCell ref="I1077:I1078"/>
    <mergeCell ref="B1083:B1084"/>
    <mergeCell ref="I1654:I1655"/>
    <mergeCell ref="G1625:G1626"/>
    <mergeCell ref="B1526:B1527"/>
    <mergeCell ref="B1530:B1531"/>
    <mergeCell ref="B1253:B1254"/>
    <mergeCell ref="I1085:I1086"/>
    <mergeCell ref="A1310:A1313"/>
    <mergeCell ref="B1310:I1310"/>
    <mergeCell ref="A825:A906"/>
    <mergeCell ref="B1085:B1086"/>
    <mergeCell ref="A1669:A1671"/>
    <mergeCell ref="G1669:G1670"/>
    <mergeCell ref="H1669:H1670"/>
    <mergeCell ref="I1669:I1670"/>
    <mergeCell ref="A1660:A1662"/>
    <mergeCell ref="G1660:G1661"/>
    <mergeCell ref="H1660:H1661"/>
    <mergeCell ref="I1660:I1661"/>
    <mergeCell ref="A1651:A1653"/>
    <mergeCell ref="G1651:G1652"/>
    <mergeCell ref="H1651:H1652"/>
    <mergeCell ref="I1651:I1652"/>
    <mergeCell ref="G1645:G1646"/>
    <mergeCell ref="H1645:H1646"/>
    <mergeCell ref="I1645:I1646"/>
    <mergeCell ref="G1654:G1655"/>
    <mergeCell ref="G1160:G1161"/>
    <mergeCell ref="H1160:H1161"/>
    <mergeCell ref="B912:B913"/>
    <mergeCell ref="G912:G913"/>
    <mergeCell ref="B1584:I1584"/>
    <mergeCell ref="I1528:I1529"/>
    <mergeCell ref="B1524:B1525"/>
    <mergeCell ref="A1663:A1665"/>
    <mergeCell ref="G1663:G1664"/>
    <mergeCell ref="H1663:H1664"/>
    <mergeCell ref="G1589:G1590"/>
    <mergeCell ref="H1589:H1590"/>
    <mergeCell ref="I1589:I1590"/>
    <mergeCell ref="B1585:B1586"/>
    <mergeCell ref="B808:B809"/>
    <mergeCell ref="G808:G809"/>
    <mergeCell ref="H808:H809"/>
    <mergeCell ref="I808:I809"/>
    <mergeCell ref="G1071:G1072"/>
    <mergeCell ref="G1083:G1084"/>
    <mergeCell ref="B1162:B1163"/>
    <mergeCell ref="G1162:G1163"/>
    <mergeCell ref="A1011:I1011"/>
    <mergeCell ref="A1052:A1135"/>
    <mergeCell ref="A1583:I1583"/>
    <mergeCell ref="A1521:A1578"/>
    <mergeCell ref="A1181:A1214"/>
    <mergeCell ref="A1146:I1146"/>
    <mergeCell ref="B1052:I1052"/>
    <mergeCell ref="B1073:B1074"/>
    <mergeCell ref="G1073:G1074"/>
    <mergeCell ref="G826:G827"/>
    <mergeCell ref="A1579:A1582"/>
    <mergeCell ref="B1579:I1579"/>
    <mergeCell ref="B1580:B1581"/>
    <mergeCell ref="G1580:G1581"/>
    <mergeCell ref="H1580:H1581"/>
    <mergeCell ref="I1580:I1581"/>
    <mergeCell ref="H1085:H1086"/>
    <mergeCell ref="A1215:I1215"/>
    <mergeCell ref="A911:A914"/>
    <mergeCell ref="B1252:I1252"/>
    <mergeCell ref="B6:B7"/>
    <mergeCell ref="C6:C7"/>
    <mergeCell ref="D6:F6"/>
    <mergeCell ref="G6:H6"/>
    <mergeCell ref="I6:I7"/>
    <mergeCell ref="A70:A87"/>
    <mergeCell ref="A50:A69"/>
    <mergeCell ref="I24:I25"/>
    <mergeCell ref="G97:G98"/>
    <mergeCell ref="A106:A111"/>
    <mergeCell ref="B106:I106"/>
    <mergeCell ref="A117:A134"/>
    <mergeCell ref="B117:I117"/>
    <mergeCell ref="B118:B119"/>
    <mergeCell ref="G118:G119"/>
    <mergeCell ref="H118:H119"/>
    <mergeCell ref="A96:A99"/>
    <mergeCell ref="B14:B15"/>
    <mergeCell ref="G14:G15"/>
    <mergeCell ref="H14:H15"/>
    <mergeCell ref="I14:I15"/>
    <mergeCell ref="A23:A26"/>
    <mergeCell ref="B42:B43"/>
    <mergeCell ref="I75:I76"/>
    <mergeCell ref="B77:B78"/>
    <mergeCell ref="G77:G78"/>
    <mergeCell ref="H77:H78"/>
    <mergeCell ref="I77:I78"/>
    <mergeCell ref="B79:B80"/>
    <mergeCell ref="I79:I80"/>
    <mergeCell ref="H83:H84"/>
    <mergeCell ref="I126:I127"/>
    <mergeCell ref="A1147:A1180"/>
    <mergeCell ref="B1147:I1147"/>
    <mergeCell ref="B1160:B1161"/>
    <mergeCell ref="B19:I19"/>
    <mergeCell ref="A13:A18"/>
    <mergeCell ref="B13:I13"/>
    <mergeCell ref="C1:G3"/>
    <mergeCell ref="A3:B3"/>
    <mergeCell ref="H3:I3"/>
    <mergeCell ref="H4:I4"/>
    <mergeCell ref="H5:I5"/>
    <mergeCell ref="C4:G5"/>
    <mergeCell ref="A1:B2"/>
    <mergeCell ref="B51:B52"/>
    <mergeCell ref="G51:G52"/>
    <mergeCell ref="H51:H52"/>
    <mergeCell ref="I51:I52"/>
    <mergeCell ref="A8:I8"/>
    <mergeCell ref="B23:I23"/>
    <mergeCell ref="B24:B25"/>
    <mergeCell ref="G24:G25"/>
    <mergeCell ref="H24:H25"/>
    <mergeCell ref="B50:I50"/>
    <mergeCell ref="A49:I49"/>
    <mergeCell ref="A19:A22"/>
    <mergeCell ref="B20:B21"/>
    <mergeCell ref="G20:G21"/>
    <mergeCell ref="H20:H21"/>
    <mergeCell ref="I20:I21"/>
    <mergeCell ref="A6:A7"/>
    <mergeCell ref="B407:B408"/>
    <mergeCell ref="G407:G408"/>
    <mergeCell ref="B401:B402"/>
    <mergeCell ref="G401:G402"/>
    <mergeCell ref="H401:H402"/>
    <mergeCell ref="H357:H358"/>
    <mergeCell ref="I357:I358"/>
    <mergeCell ref="B354:I354"/>
    <mergeCell ref="B355:B356"/>
    <mergeCell ref="I118:I119"/>
    <mergeCell ref="H395:H396"/>
    <mergeCell ref="B97:B98"/>
    <mergeCell ref="G397:G398"/>
    <mergeCell ref="I178:I179"/>
    <mergeCell ref="A175:A194"/>
    <mergeCell ref="B103:B104"/>
    <mergeCell ref="B107:B108"/>
    <mergeCell ref="G107:G108"/>
    <mergeCell ref="H107:H108"/>
    <mergeCell ref="B155:E155"/>
    <mergeCell ref="B153:B154"/>
    <mergeCell ref="G153:G154"/>
    <mergeCell ref="H153:H154"/>
    <mergeCell ref="I153:I154"/>
    <mergeCell ref="A354:A387"/>
    <mergeCell ref="A388:A485"/>
    <mergeCell ref="B389:B390"/>
    <mergeCell ref="B415:B416"/>
    <mergeCell ref="H419:H420"/>
    <mergeCell ref="B178:B179"/>
    <mergeCell ref="G178:G179"/>
    <mergeCell ref="H196:H197"/>
    <mergeCell ref="A552:A649"/>
    <mergeCell ref="A486:A551"/>
    <mergeCell ref="A249:A280"/>
    <mergeCell ref="A195:A230"/>
    <mergeCell ref="G411:G412"/>
    <mergeCell ref="I367:I368"/>
    <mergeCell ref="H565:H566"/>
    <mergeCell ref="I107:I108"/>
    <mergeCell ref="I250:I251"/>
    <mergeCell ref="G611:G612"/>
    <mergeCell ref="I443:I444"/>
    <mergeCell ref="B607:B608"/>
    <mergeCell ref="I583:I584"/>
    <mergeCell ref="B605:B606"/>
    <mergeCell ref="B531:B532"/>
    <mergeCell ref="G531:G532"/>
    <mergeCell ref="H531:H532"/>
    <mergeCell ref="H529:H530"/>
    <mergeCell ref="G527:G528"/>
    <mergeCell ref="H527:H528"/>
    <mergeCell ref="I527:I528"/>
    <mergeCell ref="G555:G556"/>
    <mergeCell ref="G505:G506"/>
    <mergeCell ref="H505:H506"/>
    <mergeCell ref="B411:B412"/>
    <mergeCell ref="I561:I562"/>
    <mergeCell ref="G605:G606"/>
    <mergeCell ref="H603:H604"/>
    <mergeCell ref="I559:I560"/>
    <mergeCell ref="B561:B562"/>
    <mergeCell ref="B175:I175"/>
    <mergeCell ref="B397:B398"/>
    <mergeCell ref="H481:H482"/>
    <mergeCell ref="I481:I482"/>
    <mergeCell ref="B483:B484"/>
    <mergeCell ref="G483:G484"/>
    <mergeCell ref="H483:H484"/>
    <mergeCell ref="I483:I484"/>
    <mergeCell ref="B471:B472"/>
    <mergeCell ref="G471:G472"/>
    <mergeCell ref="H471:H472"/>
    <mergeCell ref="I471:I472"/>
    <mergeCell ref="G473:G474"/>
    <mergeCell ref="H473:H474"/>
    <mergeCell ref="I473:I474"/>
    <mergeCell ref="B475:B476"/>
    <mergeCell ref="G475:G476"/>
    <mergeCell ref="H477:H478"/>
    <mergeCell ref="I477:I478"/>
    <mergeCell ref="G477:G478"/>
    <mergeCell ref="I679:I680"/>
    <mergeCell ref="B665:B666"/>
    <mergeCell ref="I669:I670"/>
    <mergeCell ref="B439:B440"/>
    <mergeCell ref="G439:G440"/>
    <mergeCell ref="H439:H440"/>
    <mergeCell ref="B441:B442"/>
    <mergeCell ref="G441:G442"/>
    <mergeCell ref="I515:I516"/>
    <mergeCell ref="B507:B508"/>
    <mergeCell ref="G663:G664"/>
    <mergeCell ref="I667:I668"/>
    <mergeCell ref="I513:I514"/>
    <mergeCell ref="B503:B504"/>
    <mergeCell ref="G567:G568"/>
    <mergeCell ref="H441:H442"/>
    <mergeCell ref="I503:I504"/>
    <mergeCell ref="B577:B578"/>
    <mergeCell ref="G653:G654"/>
    <mergeCell ref="G563:G564"/>
    <mergeCell ref="G607:G608"/>
    <mergeCell ref="H607:H608"/>
    <mergeCell ref="H669:H670"/>
    <mergeCell ref="G669:G670"/>
    <mergeCell ref="G665:G666"/>
    <mergeCell ref="H665:H666"/>
    <mergeCell ref="H563:H564"/>
    <mergeCell ref="I563:I564"/>
    <mergeCell ref="I607:I608"/>
    <mergeCell ref="B609:B610"/>
    <mergeCell ref="H553:H554"/>
    <mergeCell ref="B559:B560"/>
    <mergeCell ref="B663:B664"/>
    <mergeCell ref="G673:G674"/>
    <mergeCell ref="H765:H766"/>
    <mergeCell ref="I765:I766"/>
    <mergeCell ref="I816:I817"/>
    <mergeCell ref="H1067:H1068"/>
    <mergeCell ref="H1053:H1054"/>
    <mergeCell ref="B852:B853"/>
    <mergeCell ref="G852:G853"/>
    <mergeCell ref="B651:B652"/>
    <mergeCell ref="B653:B654"/>
    <mergeCell ref="I653:I654"/>
    <mergeCell ref="I593:I594"/>
    <mergeCell ref="B595:B596"/>
    <mergeCell ref="G595:G596"/>
    <mergeCell ref="H595:H596"/>
    <mergeCell ref="I595:I596"/>
    <mergeCell ref="B597:B598"/>
    <mergeCell ref="G597:G598"/>
    <mergeCell ref="H597:H598"/>
    <mergeCell ref="G599:G600"/>
    <mergeCell ref="I603:I604"/>
    <mergeCell ref="B633:B634"/>
    <mergeCell ref="G633:G634"/>
    <mergeCell ref="H633:H634"/>
    <mergeCell ref="I633:I634"/>
    <mergeCell ref="B635:B636"/>
    <mergeCell ref="G635:G636"/>
    <mergeCell ref="H635:H636"/>
    <mergeCell ref="I635:I636"/>
    <mergeCell ref="B637:B638"/>
    <mergeCell ref="G637:G638"/>
    <mergeCell ref="A1315:A1332"/>
    <mergeCell ref="B1315:I1315"/>
    <mergeCell ref="G1536:G1537"/>
    <mergeCell ref="H1536:H1537"/>
    <mergeCell ref="I1536:I1537"/>
    <mergeCell ref="G1524:G1525"/>
    <mergeCell ref="B1619:B1620"/>
    <mergeCell ref="G1619:G1620"/>
    <mergeCell ref="B826:B827"/>
    <mergeCell ref="H655:H656"/>
    <mergeCell ref="I655:I656"/>
    <mergeCell ref="H826:H827"/>
    <mergeCell ref="I826:I827"/>
    <mergeCell ref="B1071:B1072"/>
    <mergeCell ref="G1075:G1076"/>
    <mergeCell ref="H1075:H1076"/>
    <mergeCell ref="I1075:I1076"/>
    <mergeCell ref="B778:B779"/>
    <mergeCell ref="G778:G779"/>
    <mergeCell ref="H778:H779"/>
    <mergeCell ref="I778:I779"/>
    <mergeCell ref="I677:I678"/>
    <mergeCell ref="H679:H680"/>
    <mergeCell ref="B677:B678"/>
    <mergeCell ref="G677:G678"/>
    <mergeCell ref="B825:I825"/>
    <mergeCell ref="B820:B821"/>
    <mergeCell ref="I693:I694"/>
    <mergeCell ref="B669:B670"/>
    <mergeCell ref="G655:G656"/>
    <mergeCell ref="G667:G668"/>
    <mergeCell ref="G1601:G1602"/>
    <mergeCell ref="H397:H398"/>
    <mergeCell ref="I397:I398"/>
    <mergeCell ref="G399:G400"/>
    <mergeCell ref="H399:H400"/>
    <mergeCell ref="I399:I400"/>
    <mergeCell ref="G355:G356"/>
    <mergeCell ref="B486:I486"/>
    <mergeCell ref="H407:H408"/>
    <mergeCell ref="H411:H412"/>
    <mergeCell ref="B511:B512"/>
    <mergeCell ref="I445:I446"/>
    <mergeCell ref="A1252:A1269"/>
    <mergeCell ref="A716:A749"/>
    <mergeCell ref="B716:I716"/>
    <mergeCell ref="G565:G566"/>
    <mergeCell ref="A1630:A1633"/>
    <mergeCell ref="B1630:I1630"/>
    <mergeCell ref="B1631:B1632"/>
    <mergeCell ref="G1631:G1632"/>
    <mergeCell ref="H1631:H1632"/>
    <mergeCell ref="I1631:I1632"/>
    <mergeCell ref="A1353:A1390"/>
    <mergeCell ref="B1353:I1353"/>
    <mergeCell ref="I1522:I1523"/>
    <mergeCell ref="H1057:H1058"/>
    <mergeCell ref="A1234:A1251"/>
    <mergeCell ref="B1521:I1521"/>
    <mergeCell ref="B1532:B1533"/>
    <mergeCell ref="G1532:G1533"/>
    <mergeCell ref="H1532:H1533"/>
    <mergeCell ref="I1532:I1533"/>
    <mergeCell ref="G1522:G1523"/>
    <mergeCell ref="H1601:H1602"/>
    <mergeCell ref="I1601:I1602"/>
    <mergeCell ref="B1603:B1604"/>
    <mergeCell ref="G1603:G1604"/>
    <mergeCell ref="B1609:B1610"/>
    <mergeCell ref="G1609:G1610"/>
    <mergeCell ref="H1609:H1610"/>
    <mergeCell ref="I1609:I1610"/>
    <mergeCell ref="H1603:H1604"/>
    <mergeCell ref="I1603:I1604"/>
    <mergeCell ref="A281:A300"/>
    <mergeCell ref="B281:I281"/>
    <mergeCell ref="I363:I364"/>
    <mergeCell ref="B361:B362"/>
    <mergeCell ref="G361:G362"/>
    <mergeCell ref="H361:H362"/>
    <mergeCell ref="I361:I362"/>
    <mergeCell ref="B449:B450"/>
    <mergeCell ref="G449:G450"/>
    <mergeCell ref="H449:H450"/>
    <mergeCell ref="I449:I450"/>
    <mergeCell ref="B443:B444"/>
    <mergeCell ref="G443:G444"/>
    <mergeCell ref="H389:H390"/>
    <mergeCell ref="H443:H444"/>
    <mergeCell ref="B515:B516"/>
    <mergeCell ref="G515:G516"/>
    <mergeCell ref="G511:G512"/>
    <mergeCell ref="H511:H512"/>
    <mergeCell ref="I511:I512"/>
    <mergeCell ref="B513:B514"/>
    <mergeCell ref="H615:H616"/>
    <mergeCell ref="I1619:I1620"/>
    <mergeCell ref="G1613:G1614"/>
    <mergeCell ref="H1613:H1614"/>
    <mergeCell ref="B1625:B1626"/>
    <mergeCell ref="I1613:I1614"/>
    <mergeCell ref="H1605:H1606"/>
    <mergeCell ref="B1623:B1624"/>
    <mergeCell ref="G1623:G1624"/>
    <mergeCell ref="H1623:H1624"/>
    <mergeCell ref="I1623:I1624"/>
    <mergeCell ref="I1605:I1606"/>
    <mergeCell ref="G1587:G1588"/>
    <mergeCell ref="H1587:H1588"/>
    <mergeCell ref="I1587:I1588"/>
    <mergeCell ref="B1591:B1592"/>
    <mergeCell ref="G1591:G1592"/>
    <mergeCell ref="B413:B414"/>
    <mergeCell ref="B517:B518"/>
    <mergeCell ref="G517:G518"/>
    <mergeCell ref="H517:H518"/>
    <mergeCell ref="I517:I518"/>
    <mergeCell ref="B519:B520"/>
    <mergeCell ref="G519:G520"/>
    <mergeCell ref="H519:H520"/>
    <mergeCell ref="H1591:H1592"/>
    <mergeCell ref="I1591:I1592"/>
    <mergeCell ref="B1534:B1535"/>
    <mergeCell ref="G1534:G1535"/>
    <mergeCell ref="H1534:H1535"/>
    <mergeCell ref="I1534:I1535"/>
    <mergeCell ref="B615:B616"/>
    <mergeCell ref="G615:G616"/>
    <mergeCell ref="B1536:B1537"/>
    <mergeCell ref="I675:I676"/>
    <mergeCell ref="A1314:I1314"/>
    <mergeCell ref="G571:G572"/>
    <mergeCell ref="H571:H572"/>
    <mergeCell ref="I571:I572"/>
    <mergeCell ref="H561:H562"/>
    <mergeCell ref="A939:A958"/>
    <mergeCell ref="B1081:B1082"/>
    <mergeCell ref="B1627:B1628"/>
    <mergeCell ref="G1627:G1628"/>
    <mergeCell ref="H1627:H1628"/>
    <mergeCell ref="I1627:I1628"/>
    <mergeCell ref="B1617:B1618"/>
    <mergeCell ref="G1617:G1618"/>
    <mergeCell ref="H1617:H1618"/>
    <mergeCell ref="I1617:I1618"/>
    <mergeCell ref="B1615:B1616"/>
    <mergeCell ref="G1615:G1616"/>
    <mergeCell ref="H1615:H1616"/>
    <mergeCell ref="I1615:I1616"/>
    <mergeCell ref="B717:B718"/>
    <mergeCell ref="G717:G718"/>
    <mergeCell ref="I960:I961"/>
    <mergeCell ref="B563:B564"/>
    <mergeCell ref="B1234:I1234"/>
    <mergeCell ref="B1235:B1236"/>
    <mergeCell ref="G1235:G1236"/>
    <mergeCell ref="I1067:I1068"/>
    <mergeCell ref="G1067:G1068"/>
    <mergeCell ref="G1607:G1608"/>
    <mergeCell ref="H1607:H1608"/>
    <mergeCell ref="I1607:I1608"/>
    <mergeCell ref="I1079:I1080"/>
    <mergeCell ref="B1075:B1076"/>
    <mergeCell ref="B1091:B1092"/>
    <mergeCell ref="G1091:G1092"/>
    <mergeCell ref="H1091:H1092"/>
    <mergeCell ref="I1091:I1092"/>
    <mergeCell ref="B1093:B1094"/>
    <mergeCell ref="G1093:G1094"/>
    <mergeCell ref="H1093:H1094"/>
    <mergeCell ref="I1093:I1094"/>
    <mergeCell ref="I1087:I1088"/>
    <mergeCell ref="B1089:B1090"/>
    <mergeCell ref="G1089:G1090"/>
    <mergeCell ref="H1089:H1090"/>
    <mergeCell ref="I1089:I1090"/>
    <mergeCell ref="H1083:H1084"/>
    <mergeCell ref="I1083:I1084"/>
    <mergeCell ref="B1107:B1108"/>
    <mergeCell ref="G1107:G1108"/>
    <mergeCell ref="H1107:H1108"/>
    <mergeCell ref="B1597:B1598"/>
    <mergeCell ref="G1597:G1598"/>
    <mergeCell ref="H1597:H1598"/>
    <mergeCell ref="I1597:I1598"/>
    <mergeCell ref="B1599:B1600"/>
    <mergeCell ref="G1599:G1600"/>
    <mergeCell ref="H1599:H1600"/>
    <mergeCell ref="I1599:I1600"/>
    <mergeCell ref="B1601:B1602"/>
    <mergeCell ref="B1109:B1110"/>
    <mergeCell ref="G1109:G1110"/>
    <mergeCell ref="H521:H522"/>
    <mergeCell ref="I521:I522"/>
    <mergeCell ref="G561:G562"/>
    <mergeCell ref="I461:I462"/>
    <mergeCell ref="G467:G468"/>
    <mergeCell ref="H467:H468"/>
    <mergeCell ref="I467:I468"/>
    <mergeCell ref="B487:B488"/>
    <mergeCell ref="G487:G488"/>
    <mergeCell ref="H487:H488"/>
    <mergeCell ref="I487:I488"/>
    <mergeCell ref="B489:B490"/>
    <mergeCell ref="G489:G490"/>
    <mergeCell ref="G509:G510"/>
    <mergeCell ref="H509:H510"/>
    <mergeCell ref="B533:B534"/>
    <mergeCell ref="G533:G534"/>
    <mergeCell ref="H555:H556"/>
    <mergeCell ref="G525:G526"/>
    <mergeCell ref="G523:G524"/>
    <mergeCell ref="H523:H524"/>
    <mergeCell ref="H533:H534"/>
    <mergeCell ref="I533:I534"/>
    <mergeCell ref="G553:G554"/>
    <mergeCell ref="H525:H526"/>
    <mergeCell ref="I519:I520"/>
    <mergeCell ref="B473:B474"/>
    <mergeCell ref="H475:H476"/>
    <mergeCell ref="B463:B464"/>
    <mergeCell ref="G463:G464"/>
    <mergeCell ref="B481:B482"/>
    <mergeCell ref="G481:G482"/>
    <mergeCell ref="H65:H66"/>
    <mergeCell ref="I65:I66"/>
    <mergeCell ref="B67:B68"/>
    <mergeCell ref="G67:G68"/>
    <mergeCell ref="H67:H68"/>
    <mergeCell ref="B112:I112"/>
    <mergeCell ref="B113:B114"/>
    <mergeCell ref="G113:G114"/>
    <mergeCell ref="H113:H114"/>
    <mergeCell ref="B70:I70"/>
    <mergeCell ref="B83:B84"/>
    <mergeCell ref="G83:G84"/>
    <mergeCell ref="B195:I195"/>
    <mergeCell ref="B196:B197"/>
    <mergeCell ref="B176:B177"/>
    <mergeCell ref="G176:G177"/>
    <mergeCell ref="H176:H177"/>
    <mergeCell ref="B99:E99"/>
    <mergeCell ref="B95:E95"/>
    <mergeCell ref="B91:E91"/>
    <mergeCell ref="B182:B183"/>
    <mergeCell ref="A116:I116"/>
    <mergeCell ref="B96:I96"/>
    <mergeCell ref="A174:I174"/>
    <mergeCell ref="G196:G197"/>
    <mergeCell ref="H178:H179"/>
    <mergeCell ref="B128:B129"/>
    <mergeCell ref="H147:H148"/>
    <mergeCell ref="I147:I148"/>
    <mergeCell ref="B149:B150"/>
    <mergeCell ref="G149:G150"/>
    <mergeCell ref="H149:H150"/>
    <mergeCell ref="B53:B54"/>
    <mergeCell ref="G53:G54"/>
    <mergeCell ref="H53:H54"/>
    <mergeCell ref="I53:I54"/>
    <mergeCell ref="B55:B56"/>
    <mergeCell ref="G55:G56"/>
    <mergeCell ref="H55:H56"/>
    <mergeCell ref="I55:I56"/>
    <mergeCell ref="B57:B58"/>
    <mergeCell ref="G57:G58"/>
    <mergeCell ref="H57:H58"/>
    <mergeCell ref="I57:I58"/>
    <mergeCell ref="B59:B60"/>
    <mergeCell ref="G59:G60"/>
    <mergeCell ref="H59:H60"/>
    <mergeCell ref="I59:I60"/>
    <mergeCell ref="B61:B62"/>
    <mergeCell ref="G61:G62"/>
    <mergeCell ref="B346:B347"/>
    <mergeCell ref="G346:G347"/>
    <mergeCell ref="H346:H347"/>
    <mergeCell ref="H202:H203"/>
    <mergeCell ref="B81:B82"/>
    <mergeCell ref="G81:G82"/>
    <mergeCell ref="H81:H82"/>
    <mergeCell ref="I81:I82"/>
    <mergeCell ref="I113:I114"/>
    <mergeCell ref="H192:H193"/>
    <mergeCell ref="I192:I193"/>
    <mergeCell ref="G103:G104"/>
    <mergeCell ref="H103:H104"/>
    <mergeCell ref="I103:I104"/>
    <mergeCell ref="I89:I90"/>
    <mergeCell ref="B92:I92"/>
    <mergeCell ref="I93:I94"/>
    <mergeCell ref="G101:G102"/>
    <mergeCell ref="I346:I347"/>
    <mergeCell ref="B111:E111"/>
    <mergeCell ref="B105:E105"/>
    <mergeCell ref="B93:B94"/>
    <mergeCell ref="G93:G94"/>
    <mergeCell ref="I83:I84"/>
    <mergeCell ref="B85:B86"/>
    <mergeCell ref="G85:G86"/>
    <mergeCell ref="H85:H86"/>
    <mergeCell ref="I85:I86"/>
    <mergeCell ref="G89:G90"/>
    <mergeCell ref="B88:I88"/>
    <mergeCell ref="H93:H94"/>
    <mergeCell ref="H250:H251"/>
    <mergeCell ref="H198:H199"/>
    <mergeCell ref="I198:I199"/>
    <mergeCell ref="B200:B201"/>
    <mergeCell ref="G200:G201"/>
    <mergeCell ref="H200:H201"/>
    <mergeCell ref="I200:I201"/>
    <mergeCell ref="B218:B219"/>
    <mergeCell ref="B222:B223"/>
    <mergeCell ref="G222:G223"/>
    <mergeCell ref="H61:H62"/>
    <mergeCell ref="G79:G80"/>
    <mergeCell ref="I61:I62"/>
    <mergeCell ref="I67:I68"/>
    <mergeCell ref="B71:B72"/>
    <mergeCell ref="G71:G72"/>
    <mergeCell ref="H71:H72"/>
    <mergeCell ref="I71:I72"/>
    <mergeCell ref="B73:B74"/>
    <mergeCell ref="G73:G74"/>
    <mergeCell ref="H73:H74"/>
    <mergeCell ref="B75:B76"/>
    <mergeCell ref="H79:H80"/>
    <mergeCell ref="I73:I74"/>
    <mergeCell ref="G75:G76"/>
    <mergeCell ref="H75:H76"/>
    <mergeCell ref="I176:I177"/>
    <mergeCell ref="B63:B64"/>
    <mergeCell ref="G63:G64"/>
    <mergeCell ref="H63:H64"/>
    <mergeCell ref="I63:I64"/>
    <mergeCell ref="B65:B66"/>
    <mergeCell ref="G65:G66"/>
    <mergeCell ref="B109:B110"/>
    <mergeCell ref="G109:G110"/>
    <mergeCell ref="H109:H110"/>
    <mergeCell ref="I109:I110"/>
    <mergeCell ref="I222:I223"/>
    <mergeCell ref="H226:H227"/>
    <mergeCell ref="I226:I227"/>
    <mergeCell ref="I196:I197"/>
    <mergeCell ref="H184:H185"/>
    <mergeCell ref="I184:I185"/>
    <mergeCell ref="B186:B187"/>
    <mergeCell ref="G186:G187"/>
    <mergeCell ref="H186:H187"/>
    <mergeCell ref="I186:I187"/>
    <mergeCell ref="B188:B189"/>
    <mergeCell ref="G188:G189"/>
    <mergeCell ref="H188:H189"/>
    <mergeCell ref="I188:I189"/>
    <mergeCell ref="B190:B191"/>
    <mergeCell ref="B138:E138"/>
    <mergeCell ref="G182:G183"/>
    <mergeCell ref="I224:I225"/>
    <mergeCell ref="B226:B227"/>
    <mergeCell ref="G226:G227"/>
    <mergeCell ref="B214:B215"/>
    <mergeCell ref="G214:G215"/>
    <mergeCell ref="H214:H215"/>
    <mergeCell ref="I214:I215"/>
    <mergeCell ref="B202:B203"/>
    <mergeCell ref="B216:B217"/>
    <mergeCell ref="G216:G217"/>
    <mergeCell ref="H216:H217"/>
    <mergeCell ref="H677:H678"/>
    <mergeCell ref="H190:H191"/>
    <mergeCell ref="I190:I191"/>
    <mergeCell ref="B192:B193"/>
    <mergeCell ref="G192:G193"/>
    <mergeCell ref="B282:B283"/>
    <mergeCell ref="I577:I578"/>
    <mergeCell ref="G507:G508"/>
    <mergeCell ref="H507:H508"/>
    <mergeCell ref="I507:I508"/>
    <mergeCell ref="B591:B592"/>
    <mergeCell ref="G591:G592"/>
    <mergeCell ref="H591:H592"/>
    <mergeCell ref="I463:I464"/>
    <mergeCell ref="B465:B466"/>
    <mergeCell ref="B184:B185"/>
    <mergeCell ref="G184:G185"/>
    <mergeCell ref="G190:G191"/>
    <mergeCell ref="I475:I476"/>
    <mergeCell ref="B477:B478"/>
    <mergeCell ref="B340:B341"/>
    <mergeCell ref="G340:G341"/>
    <mergeCell ref="H340:H341"/>
    <mergeCell ref="I340:I341"/>
    <mergeCell ref="B342:B343"/>
    <mergeCell ref="G342:G343"/>
    <mergeCell ref="H342:H343"/>
    <mergeCell ref="I342:I343"/>
    <mergeCell ref="I591:I592"/>
    <mergeCell ref="B593:B594"/>
    <mergeCell ref="G593:G594"/>
    <mergeCell ref="I216:I217"/>
    <mergeCell ref="A112:A115"/>
    <mergeCell ref="H671:H672"/>
    <mergeCell ref="I671:I672"/>
    <mergeCell ref="B683:B684"/>
    <mergeCell ref="G683:G684"/>
    <mergeCell ref="B344:B345"/>
    <mergeCell ref="G344:G345"/>
    <mergeCell ref="H344:H345"/>
    <mergeCell ref="I344:I345"/>
    <mergeCell ref="I302:I303"/>
    <mergeCell ref="B180:B181"/>
    <mergeCell ref="G180:G181"/>
    <mergeCell ref="H180:H181"/>
    <mergeCell ref="I180:I181"/>
    <mergeCell ref="H599:H600"/>
    <mergeCell ref="I599:I600"/>
    <mergeCell ref="B601:B602"/>
    <mergeCell ref="G601:G602"/>
    <mergeCell ref="H601:H602"/>
    <mergeCell ref="I601:I602"/>
    <mergeCell ref="H182:H183"/>
    <mergeCell ref="I182:I183"/>
    <mergeCell ref="G212:G213"/>
    <mergeCell ref="H212:H213"/>
    <mergeCell ref="I212:I213"/>
    <mergeCell ref="B224:B225"/>
    <mergeCell ref="G224:G225"/>
    <mergeCell ref="H224:H225"/>
    <mergeCell ref="H350:H351"/>
    <mergeCell ref="I350:I351"/>
    <mergeCell ref="B338:B339"/>
    <mergeCell ref="G338:G339"/>
    <mergeCell ref="I389:I390"/>
    <mergeCell ref="B505:B506"/>
    <mergeCell ref="G389:G390"/>
    <mergeCell ref="B359:B360"/>
    <mergeCell ref="I505:I506"/>
    <mergeCell ref="G513:G514"/>
    <mergeCell ref="H513:H514"/>
    <mergeCell ref="I509:I510"/>
    <mergeCell ref="H557:H558"/>
    <mergeCell ref="I557:I558"/>
    <mergeCell ref="H393:H394"/>
    <mergeCell ref="B399:B400"/>
    <mergeCell ref="H367:H368"/>
    <mergeCell ref="B409:B410"/>
    <mergeCell ref="B369:B370"/>
    <mergeCell ref="G381:G382"/>
    <mergeCell ref="B383:B384"/>
    <mergeCell ref="G383:G384"/>
    <mergeCell ref="H383:H384"/>
    <mergeCell ref="I383:I384"/>
    <mergeCell ref="B385:B386"/>
    <mergeCell ref="G385:G386"/>
    <mergeCell ref="B429:B430"/>
    <mergeCell ref="G429:G430"/>
    <mergeCell ref="H429:H430"/>
    <mergeCell ref="I429:I430"/>
    <mergeCell ref="B365:B366"/>
    <mergeCell ref="G409:G410"/>
    <mergeCell ref="I419:I420"/>
    <mergeCell ref="G423:G424"/>
    <mergeCell ref="H423:H424"/>
    <mergeCell ref="I423:I424"/>
    <mergeCell ref="A27:A30"/>
    <mergeCell ref="B27:I27"/>
    <mergeCell ref="B28:B29"/>
    <mergeCell ref="G28:G29"/>
    <mergeCell ref="H28:H29"/>
    <mergeCell ref="I28:I29"/>
    <mergeCell ref="B334:B335"/>
    <mergeCell ref="G334:G335"/>
    <mergeCell ref="H334:H335"/>
    <mergeCell ref="I334:I335"/>
    <mergeCell ref="B230:E230"/>
    <mergeCell ref="B194:E194"/>
    <mergeCell ref="B134:E134"/>
    <mergeCell ref="B115:E115"/>
    <mergeCell ref="B87:E87"/>
    <mergeCell ref="B69:E69"/>
    <mergeCell ref="H729:H730"/>
    <mergeCell ref="I729:I730"/>
    <mergeCell ref="I220:I221"/>
    <mergeCell ref="B300:E300"/>
    <mergeCell ref="B280:E280"/>
    <mergeCell ref="G262:G263"/>
    <mergeCell ref="H262:H263"/>
    <mergeCell ref="I260:I261"/>
    <mergeCell ref="B262:B263"/>
    <mergeCell ref="G272:G273"/>
    <mergeCell ref="H272:H273"/>
    <mergeCell ref="I272:I273"/>
    <mergeCell ref="A650:A715"/>
    <mergeCell ref="H667:H668"/>
    <mergeCell ref="H653:H654"/>
    <mergeCell ref="G651:G652"/>
    <mergeCell ref="A807:A824"/>
    <mergeCell ref="B810:B811"/>
    <mergeCell ref="G810:G811"/>
    <mergeCell ref="H810:H811"/>
    <mergeCell ref="I810:I811"/>
    <mergeCell ref="B812:B813"/>
    <mergeCell ref="G812:G813"/>
    <mergeCell ref="H812:H813"/>
    <mergeCell ref="I812:I813"/>
    <mergeCell ref="B814:B815"/>
    <mergeCell ref="G814:G815"/>
    <mergeCell ref="H814:H815"/>
    <mergeCell ref="I814:I815"/>
    <mergeCell ref="B816:B817"/>
    <mergeCell ref="G816:G817"/>
    <mergeCell ref="H816:H817"/>
    <mergeCell ref="I597:I598"/>
    <mergeCell ref="B599:B600"/>
    <mergeCell ref="I731:I732"/>
    <mergeCell ref="B617:B618"/>
    <mergeCell ref="G617:G618"/>
    <mergeCell ref="H617:H618"/>
    <mergeCell ref="I617:I618"/>
    <mergeCell ref="G613:G614"/>
    <mergeCell ref="H613:H614"/>
    <mergeCell ref="I613:I614"/>
    <mergeCell ref="H605:H606"/>
    <mergeCell ref="I605:I606"/>
    <mergeCell ref="B685:B686"/>
    <mergeCell ref="H651:H652"/>
    <mergeCell ref="B667:B668"/>
    <mergeCell ref="B650:I650"/>
    <mergeCell ref="G940:G941"/>
    <mergeCell ref="B940:B941"/>
    <mergeCell ref="G858:G859"/>
    <mergeCell ref="B922:B923"/>
    <mergeCell ref="G922:G923"/>
    <mergeCell ref="I912:I913"/>
    <mergeCell ref="H940:H941"/>
    <mergeCell ref="H912:H913"/>
    <mergeCell ref="B911:I911"/>
    <mergeCell ref="I940:I941"/>
    <mergeCell ref="G884:G885"/>
    <mergeCell ref="H884:H885"/>
    <mergeCell ref="I884:I885"/>
    <mergeCell ref="I886:I887"/>
    <mergeCell ref="B860:B861"/>
    <mergeCell ref="G860:G861"/>
    <mergeCell ref="H860:H861"/>
    <mergeCell ref="I860:I861"/>
    <mergeCell ref="B862:B863"/>
    <mergeCell ref="G862:G863"/>
    <mergeCell ref="H862:H863"/>
    <mergeCell ref="I858:I859"/>
    <mergeCell ref="H858:H859"/>
    <mergeCell ref="B876:B877"/>
    <mergeCell ref="G876:G877"/>
    <mergeCell ref="H876:H877"/>
    <mergeCell ref="I876:I877"/>
    <mergeCell ref="B872:B873"/>
    <mergeCell ref="G872:G873"/>
    <mergeCell ref="H872:H873"/>
    <mergeCell ref="I872:I873"/>
    <mergeCell ref="B874:B875"/>
    <mergeCell ref="A959:A1010"/>
    <mergeCell ref="A1020:A1051"/>
    <mergeCell ref="B1020:I1020"/>
    <mergeCell ref="B1021:B1022"/>
    <mergeCell ref="G1021:G1022"/>
    <mergeCell ref="H1021:H1022"/>
    <mergeCell ref="I1021:I1022"/>
    <mergeCell ref="B1023:B1024"/>
    <mergeCell ref="G1023:G1024"/>
    <mergeCell ref="H1023:H1024"/>
    <mergeCell ref="I1023:I1024"/>
    <mergeCell ref="B1025:B1026"/>
    <mergeCell ref="G1025:G1026"/>
    <mergeCell ref="H1025:H1026"/>
    <mergeCell ref="I1025:I1026"/>
    <mergeCell ref="B1027:B1028"/>
    <mergeCell ref="G1027:G1028"/>
    <mergeCell ref="H1027:H1028"/>
    <mergeCell ref="B964:B965"/>
    <mergeCell ref="G964:G965"/>
    <mergeCell ref="H964:H965"/>
    <mergeCell ref="I964:I965"/>
    <mergeCell ref="I1029:I1030"/>
    <mergeCell ref="G970:G971"/>
    <mergeCell ref="H970:H971"/>
    <mergeCell ref="I970:I971"/>
    <mergeCell ref="B996:B997"/>
    <mergeCell ref="B1015:E1015"/>
    <mergeCell ref="I976:I977"/>
    <mergeCell ref="I988:I989"/>
    <mergeCell ref="H982:H983"/>
    <mergeCell ref="I982:I983"/>
    <mergeCell ref="B22:E22"/>
    <mergeCell ref="B26:E26"/>
    <mergeCell ref="B30:E30"/>
    <mergeCell ref="B18:E18"/>
    <mergeCell ref="B1582:E1582"/>
    <mergeCell ref="B1578:E1578"/>
    <mergeCell ref="B1390:E1390"/>
    <mergeCell ref="B1332:E1332"/>
    <mergeCell ref="B1313:E1313"/>
    <mergeCell ref="B1269:E1269"/>
    <mergeCell ref="B1251:E1251"/>
    <mergeCell ref="B1214:E1214"/>
    <mergeCell ref="B1180:E1180"/>
    <mergeCell ref="B1135:E1135"/>
    <mergeCell ref="B1051:E1051"/>
    <mergeCell ref="B1010:E1010"/>
    <mergeCell ref="B958:E958"/>
    <mergeCell ref="B914:E914"/>
    <mergeCell ref="B906:E906"/>
    <mergeCell ref="B824:E824"/>
    <mergeCell ref="B772:E772"/>
    <mergeCell ref="B767:E767"/>
    <mergeCell ref="B749:E749"/>
    <mergeCell ref="B715:E715"/>
    <mergeCell ref="B649:E649"/>
    <mergeCell ref="B206:B207"/>
    <mergeCell ref="B208:B209"/>
    <mergeCell ref="B210:B211"/>
    <mergeCell ref="B212:B213"/>
    <mergeCell ref="B425:B426"/>
    <mergeCell ref="B731:B732"/>
    <mergeCell ref="B844:B845"/>
    <mergeCell ref="H832:H833"/>
    <mergeCell ref="I832:I833"/>
    <mergeCell ref="B834:B835"/>
    <mergeCell ref="G834:G835"/>
    <mergeCell ref="H834:H835"/>
    <mergeCell ref="I834:I835"/>
    <mergeCell ref="B753:B754"/>
    <mergeCell ref="G753:G754"/>
    <mergeCell ref="H753:H754"/>
    <mergeCell ref="I753:I754"/>
    <mergeCell ref="B770:B771"/>
    <mergeCell ref="G770:G771"/>
    <mergeCell ref="H731:H732"/>
    <mergeCell ref="I770:I771"/>
    <mergeCell ref="B763:B764"/>
    <mergeCell ref="H782:H783"/>
    <mergeCell ref="I782:I783"/>
    <mergeCell ref="H776:H777"/>
    <mergeCell ref="I776:I777"/>
    <mergeCell ref="I794:I795"/>
    <mergeCell ref="G755:G756"/>
    <mergeCell ref="H822:H823"/>
    <mergeCell ref="I822:I823"/>
    <mergeCell ref="B818:B819"/>
    <mergeCell ref="H761:H762"/>
    <mergeCell ref="B737:B738"/>
    <mergeCell ref="G737:G738"/>
    <mergeCell ref="H737:H738"/>
    <mergeCell ref="I737:I738"/>
    <mergeCell ref="B739:B740"/>
    <mergeCell ref="G739:G740"/>
    <mergeCell ref="H739:H740"/>
    <mergeCell ref="G874:G875"/>
    <mergeCell ref="H874:H875"/>
    <mergeCell ref="I874:I875"/>
    <mergeCell ref="B848:B849"/>
    <mergeCell ref="G848:G849"/>
    <mergeCell ref="H848:H849"/>
    <mergeCell ref="I848:I849"/>
    <mergeCell ref="B850:B851"/>
    <mergeCell ref="G850:G851"/>
    <mergeCell ref="B886:B887"/>
    <mergeCell ref="G886:G887"/>
    <mergeCell ref="G844:G845"/>
    <mergeCell ref="H844:H845"/>
    <mergeCell ref="I844:I845"/>
    <mergeCell ref="H852:H853"/>
    <mergeCell ref="I852:I853"/>
    <mergeCell ref="B854:B855"/>
    <mergeCell ref="G854:G855"/>
    <mergeCell ref="H854:H855"/>
    <mergeCell ref="I854:I855"/>
    <mergeCell ref="B856:B857"/>
    <mergeCell ref="G856:G857"/>
    <mergeCell ref="H856:H857"/>
    <mergeCell ref="I856:I857"/>
    <mergeCell ref="B858:B859"/>
    <mergeCell ref="B220:B221"/>
    <mergeCell ref="G220:G221"/>
    <mergeCell ref="I246:I247"/>
    <mergeCell ref="B248:E248"/>
    <mergeCell ref="B304:B305"/>
    <mergeCell ref="G304:G305"/>
    <mergeCell ref="H304:H305"/>
    <mergeCell ref="I304:I305"/>
    <mergeCell ref="G242:G243"/>
    <mergeCell ref="H242:H243"/>
    <mergeCell ref="I242:I243"/>
    <mergeCell ref="B244:B245"/>
    <mergeCell ref="G244:G245"/>
    <mergeCell ref="H244:H245"/>
    <mergeCell ref="I244:I245"/>
    <mergeCell ref="B246:B247"/>
    <mergeCell ref="G246:G247"/>
    <mergeCell ref="H246:H247"/>
    <mergeCell ref="H282:H283"/>
    <mergeCell ref="I262:I263"/>
    <mergeCell ref="B264:B265"/>
    <mergeCell ref="G264:G265"/>
    <mergeCell ref="H264:H265"/>
    <mergeCell ref="I264:I265"/>
    <mergeCell ref="G278:G279"/>
    <mergeCell ref="G292:G293"/>
    <mergeCell ref="H292:H293"/>
    <mergeCell ref="G294:G295"/>
    <mergeCell ref="H294:H295"/>
    <mergeCell ref="I292:I293"/>
    <mergeCell ref="B294:B295"/>
    <mergeCell ref="I282:I283"/>
    <mergeCell ref="G306:G307"/>
    <mergeCell ref="H306:H307"/>
    <mergeCell ref="I306:I307"/>
    <mergeCell ref="A231:A248"/>
    <mergeCell ref="B231:I231"/>
    <mergeCell ref="B232:B233"/>
    <mergeCell ref="G232:G233"/>
    <mergeCell ref="H232:H233"/>
    <mergeCell ref="I232:I233"/>
    <mergeCell ref="B234:B235"/>
    <mergeCell ref="G234:G235"/>
    <mergeCell ref="H234:H235"/>
    <mergeCell ref="I234:I235"/>
    <mergeCell ref="B236:B237"/>
    <mergeCell ref="G236:G237"/>
    <mergeCell ref="H236:H237"/>
    <mergeCell ref="I236:I237"/>
    <mergeCell ref="B238:B239"/>
    <mergeCell ref="G238:G239"/>
    <mergeCell ref="H238:H239"/>
    <mergeCell ref="I238:I239"/>
    <mergeCell ref="B240:B241"/>
    <mergeCell ref="H240:H241"/>
    <mergeCell ref="I274:I275"/>
    <mergeCell ref="B276:B277"/>
    <mergeCell ref="G276:G277"/>
    <mergeCell ref="H276:H277"/>
    <mergeCell ref="I276:I277"/>
    <mergeCell ref="B278:B279"/>
    <mergeCell ref="B266:B267"/>
    <mergeCell ref="G266:G267"/>
    <mergeCell ref="H266:H267"/>
    <mergeCell ref="I459:I460"/>
    <mergeCell ref="B435:B436"/>
    <mergeCell ref="G435:G436"/>
    <mergeCell ref="H435:H436"/>
    <mergeCell ref="I435:I436"/>
    <mergeCell ref="B437:B438"/>
    <mergeCell ref="G437:G438"/>
    <mergeCell ref="H437:H438"/>
    <mergeCell ref="I437:I438"/>
    <mergeCell ref="B447:B448"/>
    <mergeCell ref="G447:G448"/>
    <mergeCell ref="I451:I452"/>
    <mergeCell ref="G365:G366"/>
    <mergeCell ref="H365:H366"/>
    <mergeCell ref="B367:B368"/>
    <mergeCell ref="I365:I366"/>
    <mergeCell ref="I407:I408"/>
    <mergeCell ref="I369:I370"/>
    <mergeCell ref="H409:H410"/>
    <mergeCell ref="G417:G418"/>
    <mergeCell ref="H417:H418"/>
    <mergeCell ref="H391:H392"/>
    <mergeCell ref="B377:B378"/>
    <mergeCell ref="G377:G378"/>
    <mergeCell ref="H377:H378"/>
    <mergeCell ref="I377:I378"/>
    <mergeCell ref="B379:B380"/>
    <mergeCell ref="G379:G380"/>
    <mergeCell ref="B395:B396"/>
    <mergeCell ref="G395:G396"/>
    <mergeCell ref="I411:I412"/>
    <mergeCell ref="B419:B420"/>
    <mergeCell ref="B308:B309"/>
    <mergeCell ref="G308:G309"/>
    <mergeCell ref="H308:H309"/>
    <mergeCell ref="I308:I309"/>
    <mergeCell ref="B310:B311"/>
    <mergeCell ref="G310:G311"/>
    <mergeCell ref="H310:H311"/>
    <mergeCell ref="I310:I311"/>
    <mergeCell ref="H403:H404"/>
    <mergeCell ref="I391:I392"/>
    <mergeCell ref="G421:G422"/>
    <mergeCell ref="H421:H422"/>
    <mergeCell ref="I421:I422"/>
    <mergeCell ref="I409:I410"/>
    <mergeCell ref="I413:I414"/>
    <mergeCell ref="B417:B418"/>
    <mergeCell ref="H451:H452"/>
    <mergeCell ref="B388:I388"/>
    <mergeCell ref="H427:H428"/>
    <mergeCell ref="I427:I428"/>
    <mergeCell ref="B423:B424"/>
    <mergeCell ref="G425:G426"/>
    <mergeCell ref="H425:H426"/>
    <mergeCell ref="I425:I426"/>
    <mergeCell ref="I401:I402"/>
    <mergeCell ref="B403:B404"/>
    <mergeCell ref="H379:H380"/>
    <mergeCell ref="I379:I380"/>
    <mergeCell ref="B381:B382"/>
    <mergeCell ref="H381:H382"/>
    <mergeCell ref="I381:I382"/>
    <mergeCell ref="I359:I360"/>
    <mergeCell ref="B551:E551"/>
    <mergeCell ref="B552:I552"/>
    <mergeCell ref="B581:B582"/>
    <mergeCell ref="I609:I610"/>
    <mergeCell ref="B583:B584"/>
    <mergeCell ref="G583:G584"/>
    <mergeCell ref="H581:H582"/>
    <mergeCell ref="I581:I582"/>
    <mergeCell ref="B557:B558"/>
    <mergeCell ref="G557:G558"/>
    <mergeCell ref="B573:B574"/>
    <mergeCell ref="G573:G574"/>
    <mergeCell ref="H573:H574"/>
    <mergeCell ref="G609:G610"/>
    <mergeCell ref="H609:H610"/>
    <mergeCell ref="G559:G560"/>
    <mergeCell ref="I553:I554"/>
    <mergeCell ref="G575:G576"/>
    <mergeCell ref="H575:H576"/>
    <mergeCell ref="I575:I576"/>
    <mergeCell ref="G577:G578"/>
    <mergeCell ref="H577:H578"/>
    <mergeCell ref="G603:G604"/>
    <mergeCell ref="H585:H586"/>
    <mergeCell ref="I585:I586"/>
    <mergeCell ref="H593:H594"/>
    <mergeCell ref="I683:I684"/>
    <mergeCell ref="B659:B660"/>
    <mergeCell ref="B631:B632"/>
    <mergeCell ref="G631:G632"/>
    <mergeCell ref="H631:H632"/>
    <mergeCell ref="I631:I632"/>
    <mergeCell ref="B675:B676"/>
    <mergeCell ref="B846:B847"/>
    <mergeCell ref="G846:G847"/>
    <mergeCell ref="H846:H847"/>
    <mergeCell ref="B565:B566"/>
    <mergeCell ref="H559:H560"/>
    <mergeCell ref="I567:I568"/>
    <mergeCell ref="I619:I620"/>
    <mergeCell ref="H611:H612"/>
    <mergeCell ref="I611:I612"/>
    <mergeCell ref="B611:B612"/>
    <mergeCell ref="B587:B588"/>
    <mergeCell ref="G587:G588"/>
    <mergeCell ref="H587:H588"/>
    <mergeCell ref="I587:I588"/>
    <mergeCell ref="B589:B590"/>
    <mergeCell ref="G589:G590"/>
    <mergeCell ref="H589:H590"/>
    <mergeCell ref="I589:I590"/>
    <mergeCell ref="I846:I847"/>
    <mergeCell ref="G763:G764"/>
    <mergeCell ref="H763:H764"/>
    <mergeCell ref="I763:I764"/>
    <mergeCell ref="B727:B728"/>
    <mergeCell ref="B832:B833"/>
    <mergeCell ref="G832:G833"/>
    <mergeCell ref="B621:B622"/>
    <mergeCell ref="G621:G622"/>
    <mergeCell ref="H621:H622"/>
    <mergeCell ref="I621:I622"/>
    <mergeCell ref="B623:B624"/>
    <mergeCell ref="G623:G624"/>
    <mergeCell ref="H623:H624"/>
    <mergeCell ref="I623:I624"/>
    <mergeCell ref="B625:B626"/>
    <mergeCell ref="G625:G626"/>
    <mergeCell ref="H625:H626"/>
    <mergeCell ref="I625:I626"/>
    <mergeCell ref="B627:B628"/>
    <mergeCell ref="G627:G628"/>
    <mergeCell ref="H627:H628"/>
    <mergeCell ref="I627:I628"/>
    <mergeCell ref="B657:B658"/>
    <mergeCell ref="G657:G658"/>
    <mergeCell ref="H657:H658"/>
    <mergeCell ref="I657:I658"/>
    <mergeCell ref="H637:H638"/>
    <mergeCell ref="I637:I638"/>
    <mergeCell ref="B639:B640"/>
    <mergeCell ref="G639:G640"/>
    <mergeCell ref="B647:B648"/>
    <mergeCell ref="G647:G648"/>
    <mergeCell ref="H647:H648"/>
    <mergeCell ref="I647:I648"/>
    <mergeCell ref="G942:G943"/>
    <mergeCell ref="H944:H945"/>
    <mergeCell ref="I944:I945"/>
    <mergeCell ref="B946:B947"/>
    <mergeCell ref="G946:G947"/>
    <mergeCell ref="H946:H947"/>
    <mergeCell ref="I946:I947"/>
    <mergeCell ref="B948:B949"/>
    <mergeCell ref="G948:G949"/>
    <mergeCell ref="B944:B945"/>
    <mergeCell ref="G944:G945"/>
    <mergeCell ref="H948:H949"/>
    <mergeCell ref="I948:I949"/>
    <mergeCell ref="H886:H887"/>
    <mergeCell ref="G952:G953"/>
    <mergeCell ref="H952:H953"/>
    <mergeCell ref="H850:H851"/>
    <mergeCell ref="I850:I851"/>
    <mergeCell ref="B866:B867"/>
    <mergeCell ref="G866:G867"/>
    <mergeCell ref="H866:H867"/>
    <mergeCell ref="G868:G869"/>
    <mergeCell ref="H868:H869"/>
    <mergeCell ref="I868:I869"/>
    <mergeCell ref="B870:B871"/>
    <mergeCell ref="G870:G871"/>
    <mergeCell ref="H870:H871"/>
    <mergeCell ref="I866:I867"/>
    <mergeCell ref="B868:B869"/>
    <mergeCell ref="H942:H943"/>
    <mergeCell ref="I942:I943"/>
    <mergeCell ref="I870:I871"/>
    <mergeCell ref="I952:I953"/>
    <mergeCell ref="B954:B955"/>
    <mergeCell ref="G954:G955"/>
    <mergeCell ref="H954:H955"/>
    <mergeCell ref="I954:I955"/>
    <mergeCell ref="B956:B957"/>
    <mergeCell ref="G956:G957"/>
    <mergeCell ref="H956:H957"/>
    <mergeCell ref="B968:B969"/>
    <mergeCell ref="G968:G969"/>
    <mergeCell ref="H968:H969"/>
    <mergeCell ref="I968:I969"/>
    <mergeCell ref="B970:B971"/>
    <mergeCell ref="I956:I957"/>
    <mergeCell ref="B974:B975"/>
    <mergeCell ref="G974:G975"/>
    <mergeCell ref="I862:I863"/>
    <mergeCell ref="B864:B865"/>
    <mergeCell ref="G864:G865"/>
    <mergeCell ref="H864:H865"/>
    <mergeCell ref="I864:I865"/>
    <mergeCell ref="B904:B905"/>
    <mergeCell ref="G904:G905"/>
    <mergeCell ref="H904:H905"/>
    <mergeCell ref="I904:I905"/>
    <mergeCell ref="B972:B973"/>
    <mergeCell ref="G972:G973"/>
    <mergeCell ref="H972:H973"/>
    <mergeCell ref="I972:I973"/>
    <mergeCell ref="B950:B951"/>
    <mergeCell ref="G950:G951"/>
    <mergeCell ref="B942:B943"/>
    <mergeCell ref="G980:G981"/>
    <mergeCell ref="H980:H981"/>
    <mergeCell ref="I980:I981"/>
    <mergeCell ref="B982:B983"/>
    <mergeCell ref="G982:G983"/>
    <mergeCell ref="H1065:H1066"/>
    <mergeCell ref="G1061:G1062"/>
    <mergeCell ref="H1061:H1062"/>
    <mergeCell ref="I1053:I1054"/>
    <mergeCell ref="G1065:G1066"/>
    <mergeCell ref="B978:B979"/>
    <mergeCell ref="G978:G979"/>
    <mergeCell ref="H978:H979"/>
    <mergeCell ref="I978:I979"/>
    <mergeCell ref="I1057:I1058"/>
    <mergeCell ref="B1057:B1058"/>
    <mergeCell ref="H974:H975"/>
    <mergeCell ref="I974:I975"/>
    <mergeCell ref="I984:I985"/>
    <mergeCell ref="H1063:H1064"/>
    <mergeCell ref="I1063:I1064"/>
    <mergeCell ref="G1039:G1040"/>
    <mergeCell ref="B1065:B1066"/>
    <mergeCell ref="B1035:B1036"/>
    <mergeCell ref="G1035:G1036"/>
    <mergeCell ref="H1035:H1036"/>
    <mergeCell ref="I1035:I1036"/>
    <mergeCell ref="B1043:B1044"/>
    <mergeCell ref="I1043:I1044"/>
    <mergeCell ref="G1059:G1060"/>
    <mergeCell ref="H1059:H1060"/>
    <mergeCell ref="G1055:G1056"/>
    <mergeCell ref="G493:G494"/>
    <mergeCell ref="H493:H494"/>
    <mergeCell ref="I493:I494"/>
    <mergeCell ref="B495:B496"/>
    <mergeCell ref="G495:G496"/>
    <mergeCell ref="H495:H496"/>
    <mergeCell ref="B629:B630"/>
    <mergeCell ref="G629:G630"/>
    <mergeCell ref="H629:H630"/>
    <mergeCell ref="I629:I630"/>
    <mergeCell ref="I495:I496"/>
    <mergeCell ref="B619:B620"/>
    <mergeCell ref="G619:G620"/>
    <mergeCell ref="H619:H620"/>
    <mergeCell ref="G581:G582"/>
    <mergeCell ref="B1097:B1098"/>
    <mergeCell ref="G1097:G1098"/>
    <mergeCell ref="H1097:H1098"/>
    <mergeCell ref="I1097:I1098"/>
    <mergeCell ref="I1081:I1082"/>
    <mergeCell ref="H1000:H1001"/>
    <mergeCell ref="I1000:I1001"/>
    <mergeCell ref="B1002:B1003"/>
    <mergeCell ref="G1002:G1003"/>
    <mergeCell ref="B493:B494"/>
    <mergeCell ref="H1002:H1003"/>
    <mergeCell ref="I1002:I1003"/>
    <mergeCell ref="B1004:B1005"/>
    <mergeCell ref="G1004:G1005"/>
    <mergeCell ref="H1004:H1005"/>
    <mergeCell ref="I1004:I1005"/>
    <mergeCell ref="B1006:B1007"/>
    <mergeCell ref="B1008:B1009"/>
    <mergeCell ref="G1008:G1009"/>
    <mergeCell ref="H1008:H1009"/>
    <mergeCell ref="I1008:I1009"/>
    <mergeCell ref="H1087:H1088"/>
    <mergeCell ref="B569:B570"/>
    <mergeCell ref="G569:G570"/>
    <mergeCell ref="H569:H570"/>
    <mergeCell ref="B1079:B1080"/>
    <mergeCell ref="G1069:G1070"/>
    <mergeCell ref="I1027:I1028"/>
    <mergeCell ref="B1029:B1030"/>
    <mergeCell ref="B966:B967"/>
    <mergeCell ref="G966:G967"/>
    <mergeCell ref="I788:I789"/>
    <mergeCell ref="B790:B791"/>
    <mergeCell ref="G790:G791"/>
    <mergeCell ref="H790:H791"/>
    <mergeCell ref="I790:I791"/>
    <mergeCell ref="B792:B793"/>
    <mergeCell ref="G792:G793"/>
    <mergeCell ref="H792:H793"/>
    <mergeCell ref="I792:I793"/>
    <mergeCell ref="B794:B795"/>
    <mergeCell ref="G794:G795"/>
    <mergeCell ref="H794:H795"/>
    <mergeCell ref="G675:G676"/>
    <mergeCell ref="H675:H676"/>
    <mergeCell ref="B962:B963"/>
    <mergeCell ref="H966:H967"/>
    <mergeCell ref="I966:I967"/>
    <mergeCell ref="B980:B981"/>
    <mergeCell ref="I491:I492"/>
    <mergeCell ref="B485:E485"/>
    <mergeCell ref="I405:I406"/>
    <mergeCell ref="G357:G358"/>
    <mergeCell ref="B427:B428"/>
    <mergeCell ref="G427:G428"/>
    <mergeCell ref="B457:B458"/>
    <mergeCell ref="G457:G458"/>
    <mergeCell ref="B431:B432"/>
    <mergeCell ref="G431:G432"/>
    <mergeCell ref="H431:H432"/>
    <mergeCell ref="I431:I432"/>
    <mergeCell ref="B405:B406"/>
    <mergeCell ref="G405:G406"/>
    <mergeCell ref="H405:H406"/>
    <mergeCell ref="B433:B434"/>
    <mergeCell ref="G433:G434"/>
    <mergeCell ref="H433:H434"/>
    <mergeCell ref="I433:I434"/>
    <mergeCell ref="B453:B454"/>
    <mergeCell ref="G453:G454"/>
    <mergeCell ref="H453:H454"/>
    <mergeCell ref="I453:I454"/>
    <mergeCell ref="B455:B456"/>
    <mergeCell ref="G455:G456"/>
    <mergeCell ref="H455:H456"/>
    <mergeCell ref="I455:I456"/>
    <mergeCell ref="H457:H458"/>
    <mergeCell ref="I457:I458"/>
    <mergeCell ref="B459:B460"/>
    <mergeCell ref="G459:G460"/>
    <mergeCell ref="H459:H460"/>
    <mergeCell ref="I1101:I1102"/>
    <mergeCell ref="B1087:B1088"/>
    <mergeCell ref="G1087:G1088"/>
    <mergeCell ref="B1103:B1104"/>
    <mergeCell ref="G1103:G1104"/>
    <mergeCell ref="H1103:H1104"/>
    <mergeCell ref="I1103:I1104"/>
    <mergeCell ref="B1095:B1096"/>
    <mergeCell ref="G1095:G1096"/>
    <mergeCell ref="H1095:H1096"/>
    <mergeCell ref="I1095:I1096"/>
    <mergeCell ref="G1047:G1048"/>
    <mergeCell ref="G1049:G1050"/>
    <mergeCell ref="B1099:B1100"/>
    <mergeCell ref="G1099:G1100"/>
    <mergeCell ref="B1069:B1070"/>
    <mergeCell ref="B1101:B1102"/>
    <mergeCell ref="G1101:G1102"/>
    <mergeCell ref="H1099:H1100"/>
    <mergeCell ref="I1099:I1100"/>
    <mergeCell ref="B1067:B1068"/>
    <mergeCell ref="I1061:I1062"/>
    <mergeCell ref="B1063:B1064"/>
    <mergeCell ref="G1063:G1064"/>
    <mergeCell ref="G962:G963"/>
    <mergeCell ref="H962:H963"/>
    <mergeCell ref="I962:I963"/>
    <mergeCell ref="G1029:G1030"/>
    <mergeCell ref="H1029:H1030"/>
    <mergeCell ref="H1049:H1050"/>
    <mergeCell ref="I1049:I1050"/>
    <mergeCell ref="B1031:B1032"/>
    <mergeCell ref="H994:H995"/>
    <mergeCell ref="B579:B580"/>
    <mergeCell ref="G579:G580"/>
    <mergeCell ref="H579:H580"/>
    <mergeCell ref="I579:I580"/>
    <mergeCell ref="B585:B586"/>
    <mergeCell ref="B932:B933"/>
    <mergeCell ref="G932:G933"/>
    <mergeCell ref="H932:H933"/>
    <mergeCell ref="I932:I933"/>
    <mergeCell ref="B934:B935"/>
    <mergeCell ref="G934:G935"/>
    <mergeCell ref="H934:H935"/>
    <mergeCell ref="I934:I935"/>
    <mergeCell ref="I786:I787"/>
    <mergeCell ref="B788:B789"/>
    <mergeCell ref="G788:G789"/>
    <mergeCell ref="H788:H789"/>
    <mergeCell ref="H950:H951"/>
    <mergeCell ref="I950:I951"/>
    <mergeCell ref="B952:B953"/>
    <mergeCell ref="G1006:G1007"/>
    <mergeCell ref="H1006:H1007"/>
    <mergeCell ref="I1006:I1007"/>
    <mergeCell ref="G497:G498"/>
    <mergeCell ref="H497:H498"/>
    <mergeCell ref="I497:I498"/>
    <mergeCell ref="B499:B500"/>
    <mergeCell ref="G499:G500"/>
    <mergeCell ref="H499:H500"/>
    <mergeCell ref="I499:I500"/>
    <mergeCell ref="H46:H47"/>
    <mergeCell ref="I46:I47"/>
    <mergeCell ref="B130:B131"/>
    <mergeCell ref="G130:G131"/>
    <mergeCell ref="H130:H131"/>
    <mergeCell ref="I130:I131"/>
    <mergeCell ref="B132:B133"/>
    <mergeCell ref="G132:G133"/>
    <mergeCell ref="H132:H133"/>
    <mergeCell ref="I132:I133"/>
    <mergeCell ref="B352:E352"/>
    <mergeCell ref="B332:E332"/>
    <mergeCell ref="I336:I337"/>
    <mergeCell ref="I314:I315"/>
    <mergeCell ref="B316:B317"/>
    <mergeCell ref="G316:G317"/>
    <mergeCell ref="H316:H317"/>
    <mergeCell ref="I316:I317"/>
    <mergeCell ref="B330:B331"/>
    <mergeCell ref="G330:G331"/>
    <mergeCell ref="H330:H331"/>
    <mergeCell ref="I330:I331"/>
    <mergeCell ref="B320:B321"/>
    <mergeCell ref="I489:I490"/>
    <mergeCell ref="B491:B492"/>
    <mergeCell ref="B501:B502"/>
    <mergeCell ref="G501:G502"/>
    <mergeCell ref="H501:H502"/>
    <mergeCell ref="I501:I502"/>
    <mergeCell ref="B509:B510"/>
    <mergeCell ref="H543:H544"/>
    <mergeCell ref="I543:I544"/>
    <mergeCell ref="B545:B546"/>
    <mergeCell ref="G545:G546"/>
    <mergeCell ref="H545:H546"/>
    <mergeCell ref="I545:I546"/>
    <mergeCell ref="B547:B548"/>
    <mergeCell ref="G547:G548"/>
    <mergeCell ref="H547:H548"/>
    <mergeCell ref="B1404:B1405"/>
    <mergeCell ref="G1404:G1405"/>
    <mergeCell ref="H1404:H1405"/>
    <mergeCell ref="H1223:H1224"/>
    <mergeCell ref="I1223:I1224"/>
    <mergeCell ref="B1225:B1226"/>
    <mergeCell ref="G1225:G1226"/>
    <mergeCell ref="H1225:H1226"/>
    <mergeCell ref="I1225:I1226"/>
    <mergeCell ref="I1241:I1242"/>
    <mergeCell ref="H1235:H1236"/>
    <mergeCell ref="I1235:I1236"/>
    <mergeCell ref="B1243:B1244"/>
    <mergeCell ref="G1243:G1244"/>
    <mergeCell ref="H1243:H1244"/>
    <mergeCell ref="I1366:I1367"/>
    <mergeCell ref="B1368:B1369"/>
    <mergeCell ref="G1368:G1369"/>
    <mergeCell ref="B1442:B1443"/>
    <mergeCell ref="G1442:G1443"/>
    <mergeCell ref="H1442:H1443"/>
    <mergeCell ref="H1526:H1527"/>
    <mergeCell ref="I1526:I1527"/>
    <mergeCell ref="H1528:H1529"/>
    <mergeCell ref="G1227:G1228"/>
    <mergeCell ref="H1227:H1228"/>
    <mergeCell ref="I1227:I1228"/>
    <mergeCell ref="B1237:B1238"/>
    <mergeCell ref="G1237:G1238"/>
    <mergeCell ref="H1237:H1238"/>
    <mergeCell ref="I1237:I1238"/>
    <mergeCell ref="B1239:B1240"/>
    <mergeCell ref="G1239:G1240"/>
    <mergeCell ref="B1522:B1523"/>
    <mergeCell ref="I1404:I1405"/>
    <mergeCell ref="B1406:B1407"/>
    <mergeCell ref="G1406:G1407"/>
    <mergeCell ref="G1526:G1527"/>
    <mergeCell ref="B1227:B1228"/>
    <mergeCell ref="H1239:H1240"/>
    <mergeCell ref="I1239:I1240"/>
    <mergeCell ref="B1229:B1230"/>
    <mergeCell ref="G1229:G1230"/>
    <mergeCell ref="H1229:H1230"/>
    <mergeCell ref="I1229:I1230"/>
    <mergeCell ref="B1241:B1242"/>
    <mergeCell ref="G1241:G1242"/>
    <mergeCell ref="H1241:H1242"/>
    <mergeCell ref="H1522:H1523"/>
    <mergeCell ref="A1352:I1352"/>
    <mergeCell ref="H1368:H1369"/>
    <mergeCell ref="I1368:I1369"/>
    <mergeCell ref="B1231:B1232"/>
    <mergeCell ref="G1231:G1232"/>
    <mergeCell ref="H1231:H1232"/>
    <mergeCell ref="I1231:I1232"/>
    <mergeCell ref="H1328:H1329"/>
    <mergeCell ref="I1328:I1329"/>
    <mergeCell ref="B1291:E1291"/>
    <mergeCell ref="H1301:H1302"/>
    <mergeCell ref="I1243:I1244"/>
    <mergeCell ref="B1245:B1246"/>
    <mergeCell ref="G1245:G1246"/>
    <mergeCell ref="H1245:H1246"/>
    <mergeCell ref="B1265:B1266"/>
    <mergeCell ref="G1265:G1266"/>
    <mergeCell ref="H1265:H1266"/>
    <mergeCell ref="I1265:I1266"/>
    <mergeCell ref="B1267:B1268"/>
    <mergeCell ref="G1267:G1268"/>
    <mergeCell ref="H1267:H1268"/>
    <mergeCell ref="I1267:I1268"/>
    <mergeCell ref="B1305:B1306"/>
    <mergeCell ref="G1305:G1306"/>
    <mergeCell ref="H1305:H1306"/>
    <mergeCell ref="I1305:I1306"/>
    <mergeCell ref="B1307:B1308"/>
    <mergeCell ref="G1307:G1308"/>
    <mergeCell ref="H1307:H1308"/>
    <mergeCell ref="I1307:I1308"/>
    <mergeCell ref="B1328:B1329"/>
    <mergeCell ref="G1328:G1329"/>
    <mergeCell ref="I1285:I1286"/>
    <mergeCell ref="I569:I570"/>
    <mergeCell ref="G1462:G1463"/>
    <mergeCell ref="H1462:H1463"/>
    <mergeCell ref="I1462:I1463"/>
    <mergeCell ref="A1270:A1291"/>
    <mergeCell ref="B1270:I1270"/>
    <mergeCell ref="B1271:B1272"/>
    <mergeCell ref="G1271:G1272"/>
    <mergeCell ref="H1271:H1272"/>
    <mergeCell ref="I1271:I1272"/>
    <mergeCell ref="B1273:B1274"/>
    <mergeCell ref="G1273:G1274"/>
    <mergeCell ref="H1273:H1274"/>
    <mergeCell ref="I1273:I1274"/>
    <mergeCell ref="B1281:B1282"/>
    <mergeCell ref="G1281:G1282"/>
    <mergeCell ref="H1281:H1282"/>
    <mergeCell ref="I1281:I1282"/>
    <mergeCell ref="B1283:B1284"/>
    <mergeCell ref="G1283:G1284"/>
    <mergeCell ref="H1283:H1284"/>
    <mergeCell ref="I1283:I1284"/>
    <mergeCell ref="B1366:B1367"/>
    <mergeCell ref="G1366:G1367"/>
    <mergeCell ref="H1366:H1367"/>
    <mergeCell ref="B786:B787"/>
    <mergeCell ref="G786:G787"/>
    <mergeCell ref="H786:H787"/>
    <mergeCell ref="G1384:G1385"/>
    <mergeCell ref="H1384:H1385"/>
    <mergeCell ref="I1384:I1385"/>
    <mergeCell ref="I1408:I1409"/>
    <mergeCell ref="B1410:B1411"/>
    <mergeCell ref="G1410:G1411"/>
    <mergeCell ref="H1410:H1411"/>
    <mergeCell ref="I1410:I1411"/>
    <mergeCell ref="B1370:B1371"/>
    <mergeCell ref="G1370:G1371"/>
    <mergeCell ref="H1370:H1371"/>
    <mergeCell ref="I1370:I1371"/>
    <mergeCell ref="B1372:B1373"/>
    <mergeCell ref="G1372:G1373"/>
    <mergeCell ref="H1372:H1373"/>
    <mergeCell ref="I1372:I1373"/>
    <mergeCell ref="B1374:B1375"/>
    <mergeCell ref="G1374:G1375"/>
    <mergeCell ref="H1374:H1375"/>
    <mergeCell ref="I1374:I1375"/>
    <mergeCell ref="B1380:B1381"/>
    <mergeCell ref="G1380:G1381"/>
    <mergeCell ref="H1380:H1381"/>
    <mergeCell ref="I1380:I1381"/>
    <mergeCell ref="B1382:B1383"/>
    <mergeCell ref="G1382:G1383"/>
    <mergeCell ref="H1382:H1383"/>
    <mergeCell ref="I1382:I1383"/>
    <mergeCell ref="H1406:H1407"/>
    <mergeCell ref="B1388:B1389"/>
    <mergeCell ref="G1388:G1389"/>
    <mergeCell ref="H1388:H1389"/>
    <mergeCell ref="A1648:A1650"/>
    <mergeCell ref="B1648:B1649"/>
    <mergeCell ref="G1648:G1649"/>
    <mergeCell ref="H1648:H1649"/>
    <mergeCell ref="I1648:I1649"/>
    <mergeCell ref="B1650:E1650"/>
    <mergeCell ref="B1576:B1577"/>
    <mergeCell ref="G1576:G1577"/>
    <mergeCell ref="H1576:H1577"/>
    <mergeCell ref="I1576:I1577"/>
    <mergeCell ref="A1638:A1640"/>
    <mergeCell ref="B1638:B1639"/>
    <mergeCell ref="G1638:G1639"/>
    <mergeCell ref="H1638:H1639"/>
    <mergeCell ref="I1638:I1639"/>
    <mergeCell ref="B1640:F1640"/>
    <mergeCell ref="A1634:I1634"/>
    <mergeCell ref="A1635:A1637"/>
    <mergeCell ref="B1635:B1636"/>
    <mergeCell ref="G1635:G1636"/>
    <mergeCell ref="H1635:H1636"/>
    <mergeCell ref="I1635:I1636"/>
    <mergeCell ref="B1637:F1637"/>
    <mergeCell ref="H1619:H1620"/>
    <mergeCell ref="B1621:B1622"/>
    <mergeCell ref="G1621:G1622"/>
    <mergeCell ref="H1621:H1622"/>
    <mergeCell ref="I1621:I1622"/>
    <mergeCell ref="B1605:B1606"/>
    <mergeCell ref="G1605:G1606"/>
    <mergeCell ref="B1587:B1588"/>
    <mergeCell ref="B1607:B1608"/>
    <mergeCell ref="A1016:A1019"/>
    <mergeCell ref="B1016:I1016"/>
    <mergeCell ref="B1017:B1018"/>
    <mergeCell ref="G1017:G1018"/>
    <mergeCell ref="H1017:H1018"/>
    <mergeCell ref="I1017:I1018"/>
    <mergeCell ref="B1019:E1019"/>
    <mergeCell ref="B1137:B1138"/>
    <mergeCell ref="G1137:G1138"/>
    <mergeCell ref="H1137:H1138"/>
    <mergeCell ref="I1137:I1138"/>
    <mergeCell ref="B1139:B1140"/>
    <mergeCell ref="G1139:G1140"/>
    <mergeCell ref="H1139:H1140"/>
    <mergeCell ref="I1139:I1140"/>
    <mergeCell ref="A1136:A1145"/>
    <mergeCell ref="B1136:I1136"/>
    <mergeCell ref="B1141:B1142"/>
    <mergeCell ref="G1141:G1142"/>
    <mergeCell ref="H1141:H1142"/>
    <mergeCell ref="I1141:I1142"/>
    <mergeCell ref="B1143:B1144"/>
    <mergeCell ref="G1143:G1144"/>
    <mergeCell ref="H1143:H1144"/>
    <mergeCell ref="I1143:I1144"/>
    <mergeCell ref="B1117:B1118"/>
    <mergeCell ref="H1047:H1048"/>
    <mergeCell ref="I1047:I1048"/>
    <mergeCell ref="B1049:B1050"/>
    <mergeCell ref="G1117:G1118"/>
    <mergeCell ref="B1047:B1048"/>
    <mergeCell ref="G1085:G1086"/>
    <mergeCell ref="B1277:B1278"/>
    <mergeCell ref="G1277:G1278"/>
    <mergeCell ref="H1277:H1278"/>
    <mergeCell ref="I1277:I1278"/>
    <mergeCell ref="B1279:B1280"/>
    <mergeCell ref="G1279:G1280"/>
    <mergeCell ref="H1279:H1280"/>
    <mergeCell ref="I1279:I1280"/>
    <mergeCell ref="B796:B797"/>
    <mergeCell ref="G796:G797"/>
    <mergeCell ref="H796:H797"/>
    <mergeCell ref="I796:I797"/>
    <mergeCell ref="B798:B799"/>
    <mergeCell ref="G798:G799"/>
    <mergeCell ref="H798:H799"/>
    <mergeCell ref="I798:I799"/>
    <mergeCell ref="B800:B801"/>
    <mergeCell ref="G800:G801"/>
    <mergeCell ref="H800:H801"/>
    <mergeCell ref="I800:I801"/>
    <mergeCell ref="B802:B803"/>
    <mergeCell ref="G802:G803"/>
    <mergeCell ref="H802:H803"/>
    <mergeCell ref="I802:I803"/>
    <mergeCell ref="B804:B805"/>
    <mergeCell ref="G804:G805"/>
    <mergeCell ref="H804:H805"/>
    <mergeCell ref="I804:I805"/>
    <mergeCell ref="B1145:E1145"/>
    <mergeCell ref="B1115:B1116"/>
    <mergeCell ref="G1115:G1116"/>
    <mergeCell ref="H1115:H1116"/>
    <mergeCell ref="B1287:B1288"/>
    <mergeCell ref="G1287:G1288"/>
    <mergeCell ref="H1287:H1288"/>
    <mergeCell ref="I1287:I1288"/>
    <mergeCell ref="B1289:B1290"/>
    <mergeCell ref="G1289:G1290"/>
    <mergeCell ref="H1289:H1290"/>
    <mergeCell ref="I1289:I1290"/>
    <mergeCell ref="B1376:B1377"/>
    <mergeCell ref="G1376:G1377"/>
    <mergeCell ref="H1376:H1377"/>
    <mergeCell ref="I1376:I1377"/>
    <mergeCell ref="B1378:B1379"/>
    <mergeCell ref="G1378:G1379"/>
    <mergeCell ref="H1378:H1379"/>
    <mergeCell ref="I1378:I1379"/>
    <mergeCell ref="B1386:B1387"/>
    <mergeCell ref="G1386:G1387"/>
    <mergeCell ref="H1386:H1387"/>
    <mergeCell ref="I1386:I1387"/>
    <mergeCell ref="H1345:H1346"/>
    <mergeCell ref="I1345:I1346"/>
    <mergeCell ref="B1347:B1348"/>
    <mergeCell ref="G1347:G1348"/>
    <mergeCell ref="H1347:H1348"/>
    <mergeCell ref="I1347:I1348"/>
    <mergeCell ref="B1349:B1350"/>
    <mergeCell ref="G1349:G1350"/>
    <mergeCell ref="H1349:H1350"/>
    <mergeCell ref="I1349:I1350"/>
    <mergeCell ref="B1351:E1351"/>
    <mergeCell ref="B1384:B1385"/>
    <mergeCell ref="I1388:I1389"/>
    <mergeCell ref="B1414:B1415"/>
    <mergeCell ref="G1414:G1415"/>
    <mergeCell ref="H1414:H1415"/>
    <mergeCell ref="I1414:I1415"/>
    <mergeCell ref="B1416:B1417"/>
    <mergeCell ref="G1416:G1417"/>
    <mergeCell ref="H1416:H1417"/>
    <mergeCell ref="I1416:I1417"/>
    <mergeCell ref="B1424:B1425"/>
    <mergeCell ref="G1424:G1425"/>
    <mergeCell ref="H1424:H1425"/>
    <mergeCell ref="I1424:I1425"/>
    <mergeCell ref="B1426:B1427"/>
    <mergeCell ref="G1426:G1427"/>
    <mergeCell ref="H1426:H1427"/>
    <mergeCell ref="I1426:I1427"/>
    <mergeCell ref="G1418:G1419"/>
    <mergeCell ref="H1418:H1419"/>
    <mergeCell ref="I1418:I1419"/>
    <mergeCell ref="B1420:B1421"/>
    <mergeCell ref="G1420:G1421"/>
    <mergeCell ref="H1420:H1421"/>
    <mergeCell ref="I1420:I1421"/>
    <mergeCell ref="B1422:B1423"/>
    <mergeCell ref="G1422:G1423"/>
    <mergeCell ref="H1422:H1423"/>
    <mergeCell ref="I1422:I1423"/>
    <mergeCell ref="I1406:I1407"/>
    <mergeCell ref="B1408:B1409"/>
    <mergeCell ref="G1408:G1409"/>
    <mergeCell ref="H1408:H1409"/>
    <mergeCell ref="A1465:I1465"/>
    <mergeCell ref="A1466:A1483"/>
    <mergeCell ref="B1466:I1466"/>
    <mergeCell ref="B1467:B1468"/>
    <mergeCell ref="G1467:G1468"/>
    <mergeCell ref="H1467:H1468"/>
    <mergeCell ref="I1467:I1468"/>
    <mergeCell ref="B1469:B1470"/>
    <mergeCell ref="G1469:G1470"/>
    <mergeCell ref="H1469:H1470"/>
    <mergeCell ref="I1469:I1470"/>
    <mergeCell ref="B1471:B1472"/>
    <mergeCell ref="G1471:G1472"/>
    <mergeCell ref="H1471:H1472"/>
    <mergeCell ref="I1471:I1472"/>
    <mergeCell ref="B1473:B1474"/>
    <mergeCell ref="G1473:G1474"/>
    <mergeCell ref="H1473:H1474"/>
    <mergeCell ref="I1473:I1474"/>
    <mergeCell ref="B1475:B1476"/>
    <mergeCell ref="G1475:G1476"/>
    <mergeCell ref="H1475:H1476"/>
    <mergeCell ref="I1475:I1476"/>
    <mergeCell ref="B1477:B1478"/>
    <mergeCell ref="G1477:G1478"/>
    <mergeCell ref="H1477:H1478"/>
    <mergeCell ref="I1477:I1478"/>
    <mergeCell ref="B1479:B1480"/>
    <mergeCell ref="G1479:G1480"/>
    <mergeCell ref="H1479:H1480"/>
    <mergeCell ref="I1479:I1480"/>
    <mergeCell ref="B1481:B1482"/>
    <mergeCell ref="G1481:G1482"/>
    <mergeCell ref="H1481:H1482"/>
    <mergeCell ref="I1481:I1482"/>
    <mergeCell ref="B1483:E1483"/>
    <mergeCell ref="A1502:A1519"/>
    <mergeCell ref="B1502:I1502"/>
    <mergeCell ref="B1503:B1504"/>
    <mergeCell ref="G1503:G1504"/>
    <mergeCell ref="H1503:H1504"/>
    <mergeCell ref="I1503:I1504"/>
    <mergeCell ref="B1505:B1506"/>
    <mergeCell ref="G1505:G1506"/>
    <mergeCell ref="H1505:H1506"/>
    <mergeCell ref="I1505:I1506"/>
    <mergeCell ref="B1507:B1508"/>
    <mergeCell ref="G1507:G1508"/>
    <mergeCell ref="H1507:H1508"/>
    <mergeCell ref="I1507:I1508"/>
    <mergeCell ref="B1509:B1510"/>
    <mergeCell ref="G1509:G1510"/>
    <mergeCell ref="H1509:H1510"/>
    <mergeCell ref="I1509:I1510"/>
    <mergeCell ref="B1511:B1512"/>
    <mergeCell ref="G1511:G1512"/>
    <mergeCell ref="H1511:H1512"/>
    <mergeCell ref="I1511:I1512"/>
    <mergeCell ref="B1513:B1514"/>
    <mergeCell ref="G1513:G1514"/>
    <mergeCell ref="H1513:H1514"/>
    <mergeCell ref="I1513:I1514"/>
    <mergeCell ref="B1515:B1516"/>
    <mergeCell ref="G1515:G1516"/>
    <mergeCell ref="A1333:I1333"/>
    <mergeCell ref="A1334:A1351"/>
    <mergeCell ref="B1334:I1334"/>
    <mergeCell ref="B1335:B1336"/>
    <mergeCell ref="G1335:G1336"/>
    <mergeCell ref="H1335:H1336"/>
    <mergeCell ref="I1335:I1336"/>
    <mergeCell ref="B1337:B1338"/>
    <mergeCell ref="G1337:G1338"/>
    <mergeCell ref="H1337:H1338"/>
    <mergeCell ref="I1337:I1338"/>
    <mergeCell ref="B1339:B1340"/>
    <mergeCell ref="G1339:G1340"/>
    <mergeCell ref="H1339:H1340"/>
    <mergeCell ref="I1339:I1340"/>
    <mergeCell ref="B1341:B1342"/>
    <mergeCell ref="G1341:G1342"/>
    <mergeCell ref="H1341:H1342"/>
    <mergeCell ref="I1341:I1342"/>
    <mergeCell ref="B1343:B1344"/>
    <mergeCell ref="G1343:G1344"/>
    <mergeCell ref="H1343:H1344"/>
    <mergeCell ref="I1343:I1344"/>
    <mergeCell ref="B1345:B1346"/>
    <mergeCell ref="G1345:G1346"/>
    <mergeCell ref="B1495:B1496"/>
    <mergeCell ref="G1495:G1496"/>
    <mergeCell ref="H1495:H1496"/>
    <mergeCell ref="I1495:I1496"/>
    <mergeCell ref="B1497:B1498"/>
    <mergeCell ref="G1497:G1498"/>
    <mergeCell ref="H1497:H1498"/>
    <mergeCell ref="I1497:I1498"/>
    <mergeCell ref="B1499:B1500"/>
    <mergeCell ref="G1499:G1500"/>
    <mergeCell ref="H1515:H1516"/>
    <mergeCell ref="I1515:I1516"/>
    <mergeCell ref="B1517:B1518"/>
    <mergeCell ref="G1517:G1518"/>
    <mergeCell ref="H1517:H1518"/>
    <mergeCell ref="I1517:I1518"/>
    <mergeCell ref="B1519:E1519"/>
    <mergeCell ref="I1485:I1486"/>
    <mergeCell ref="B1487:B1488"/>
    <mergeCell ref="G1487:G1488"/>
    <mergeCell ref="H1487:H1488"/>
    <mergeCell ref="I1487:I1488"/>
    <mergeCell ref="B1489:B1490"/>
    <mergeCell ref="G1489:G1490"/>
    <mergeCell ref="H1489:H1490"/>
    <mergeCell ref="I1489:I1490"/>
    <mergeCell ref="B1491:B1492"/>
    <mergeCell ref="G1491:G1492"/>
    <mergeCell ref="H1491:H1492"/>
    <mergeCell ref="I1491:I1492"/>
    <mergeCell ref="B1493:B1494"/>
    <mergeCell ref="G1493:G1494"/>
    <mergeCell ref="H1493:H1494"/>
    <mergeCell ref="I1493:I1494"/>
    <mergeCell ref="A135:A138"/>
    <mergeCell ref="B135:I135"/>
    <mergeCell ref="B136:B137"/>
    <mergeCell ref="G136:G137"/>
    <mergeCell ref="H136:H137"/>
    <mergeCell ref="I136:I137"/>
    <mergeCell ref="H1499:H1500"/>
    <mergeCell ref="I1499:I1500"/>
    <mergeCell ref="B1501:E1501"/>
    <mergeCell ref="A907:A910"/>
    <mergeCell ref="B907:I907"/>
    <mergeCell ref="B908:B909"/>
    <mergeCell ref="G908:G909"/>
    <mergeCell ref="H908:H909"/>
    <mergeCell ref="I908:I909"/>
    <mergeCell ref="B910:E910"/>
    <mergeCell ref="A915:A918"/>
    <mergeCell ref="B915:I915"/>
    <mergeCell ref="B916:B917"/>
    <mergeCell ref="G916:G917"/>
    <mergeCell ref="H916:H917"/>
    <mergeCell ref="I916:I917"/>
    <mergeCell ref="B918:E918"/>
    <mergeCell ref="B936:B937"/>
    <mergeCell ref="G936:G937"/>
    <mergeCell ref="H936:H937"/>
    <mergeCell ref="I936:I937"/>
    <mergeCell ref="A1484:A1501"/>
    <mergeCell ref="B1484:I1484"/>
    <mergeCell ref="B1485:B1486"/>
    <mergeCell ref="G1485:G1486"/>
    <mergeCell ref="H1485:H1486"/>
  </mergeCells>
  <printOptions horizontalCentered="1"/>
  <pageMargins left="0" right="0" top="0" bottom="0.78740157480314965" header="0" footer="0"/>
  <pageSetup paperSize="9" fitToHeight="9" orientation="portrait" r:id="rId1"/>
  <headerFooter alignWithMargins="0">
    <oddHeader>&amp;L&amp;"B Nazanin,Regular"&amp;P</oddHeader>
    <oddFooter>&amp;L&amp;"B Nazanin,Regular"&amp;11نماینده كارفرما :   &amp;C&amp;"B Nazanin,Regular"&amp;11نظارت:&amp;R&amp;"B Nazanin,Regular"&amp;11پيمانكار:</oddFooter>
  </headerFooter>
  <rowBreaks count="24" manualBreakCount="24">
    <brk id="69" max="16383" man="1"/>
    <brk id="115" max="8" man="1"/>
    <brk id="173" max="8" man="1"/>
    <brk id="230" max="8" man="1"/>
    <brk id="280" max="8" man="1"/>
    <brk id="332" max="8" man="1"/>
    <brk id="387" max="8" man="1"/>
    <brk id="444" max="8" man="1"/>
    <brk id="485" max="8" man="1"/>
    <brk id="551" max="8" man="1"/>
    <brk id="649" max="8" man="1"/>
    <brk id="715" max="8" man="1"/>
    <brk id="772" max="8" man="1"/>
    <brk id="824" max="8" man="1"/>
    <brk id="906" max="8" man="1"/>
    <brk id="995" max="8" man="1"/>
    <brk id="1074" max="8" man="1"/>
    <brk id="1145" max="8" man="1"/>
    <brk id="1233" max="8" man="1"/>
    <brk id="1313" max="8" man="1"/>
    <brk id="1390" max="8" man="1"/>
    <brk id="1483" max="8" man="1"/>
    <brk id="1582" max="8" man="1"/>
    <brk id="1637"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184"/>
  <sheetViews>
    <sheetView rightToLeft="1" workbookViewId="0">
      <selection activeCell="A9" sqref="A9"/>
    </sheetView>
  </sheetViews>
  <sheetFormatPr defaultColWidth="9" defaultRowHeight="13.8"/>
  <cols>
    <col min="1" max="1" width="14.109375" style="244" customWidth="1"/>
    <col min="2" max="2" width="50.5546875" style="244" customWidth="1"/>
    <col min="3" max="3" width="12.88671875" style="244" customWidth="1"/>
    <col min="4" max="4" width="19.5546875" style="246" customWidth="1"/>
    <col min="5" max="16384" width="9" style="244"/>
  </cols>
  <sheetData>
    <row r="1" spans="1:7">
      <c r="A1" s="236" t="s">
        <v>216</v>
      </c>
      <c r="B1" s="236" t="s">
        <v>217</v>
      </c>
      <c r="C1" s="236" t="s">
        <v>16</v>
      </c>
      <c r="D1" s="236" t="s">
        <v>218</v>
      </c>
    </row>
    <row r="2" spans="1:7" ht="27.6">
      <c r="A2" s="245" t="s">
        <v>219</v>
      </c>
      <c r="B2" s="239" t="s">
        <v>220</v>
      </c>
      <c r="C2" s="238" t="s">
        <v>15</v>
      </c>
      <c r="D2" s="240">
        <v>155</v>
      </c>
      <c r="G2" s="237"/>
    </row>
    <row r="3" spans="1:7" ht="41.4">
      <c r="A3" s="245" t="s">
        <v>221</v>
      </c>
      <c r="B3" s="239" t="s">
        <v>222</v>
      </c>
      <c r="C3" s="238" t="s">
        <v>223</v>
      </c>
      <c r="D3" s="240">
        <v>6980</v>
      </c>
      <c r="G3" s="237"/>
    </row>
    <row r="4" spans="1:7" ht="27.6">
      <c r="A4" s="245" t="s">
        <v>224</v>
      </c>
      <c r="B4" s="239" t="s">
        <v>225</v>
      </c>
      <c r="C4" s="238" t="s">
        <v>223</v>
      </c>
      <c r="D4" s="240">
        <v>34600</v>
      </c>
      <c r="G4" s="237"/>
    </row>
    <row r="5" spans="1:7" ht="27.6">
      <c r="A5" s="245" t="s">
        <v>226</v>
      </c>
      <c r="B5" s="239" t="s">
        <v>227</v>
      </c>
      <c r="C5" s="238" t="s">
        <v>223</v>
      </c>
      <c r="D5" s="240">
        <v>114500</v>
      </c>
      <c r="G5" s="237"/>
    </row>
    <row r="6" spans="1:7" ht="27.6">
      <c r="A6" s="245" t="s">
        <v>228</v>
      </c>
      <c r="B6" s="239" t="s">
        <v>229</v>
      </c>
      <c r="C6" s="238" t="s">
        <v>223</v>
      </c>
      <c r="D6" s="240">
        <v>183000</v>
      </c>
      <c r="G6" s="237"/>
    </row>
    <row r="7" spans="1:7" ht="27.6">
      <c r="A7" s="245" t="s">
        <v>230</v>
      </c>
      <c r="B7" s="239" t="s">
        <v>231</v>
      </c>
      <c r="C7" s="238" t="s">
        <v>223</v>
      </c>
      <c r="D7" s="240">
        <v>20400</v>
      </c>
      <c r="G7" s="237"/>
    </row>
    <row r="8" spans="1:7">
      <c r="A8" s="245" t="s">
        <v>232</v>
      </c>
      <c r="B8" s="239" t="s">
        <v>233</v>
      </c>
      <c r="C8" s="238" t="s">
        <v>223</v>
      </c>
      <c r="D8" s="240"/>
      <c r="G8" s="237"/>
    </row>
    <row r="9" spans="1:7" ht="27.6">
      <c r="A9" s="245" t="s">
        <v>234</v>
      </c>
      <c r="B9" s="239" t="s">
        <v>235</v>
      </c>
      <c r="C9" s="238" t="s">
        <v>223</v>
      </c>
      <c r="D9" s="240"/>
      <c r="G9" s="237"/>
    </row>
    <row r="10" spans="1:7" ht="27.6">
      <c r="A10" s="245" t="s">
        <v>236</v>
      </c>
      <c r="B10" s="239" t="s">
        <v>237</v>
      </c>
      <c r="C10" s="238" t="s">
        <v>223</v>
      </c>
      <c r="D10" s="240"/>
      <c r="G10" s="237"/>
    </row>
    <row r="11" spans="1:7" ht="27.6">
      <c r="A11" s="245" t="s">
        <v>238</v>
      </c>
      <c r="B11" s="239" t="s">
        <v>239</v>
      </c>
      <c r="C11" s="238" t="s">
        <v>223</v>
      </c>
      <c r="D11" s="240"/>
      <c r="G11" s="237"/>
    </row>
    <row r="12" spans="1:7" ht="27.6">
      <c r="A12" s="245" t="s">
        <v>240</v>
      </c>
      <c r="B12" s="239" t="s">
        <v>241</v>
      </c>
      <c r="C12" s="238" t="s">
        <v>242</v>
      </c>
      <c r="D12" s="240">
        <v>178500</v>
      </c>
      <c r="G12" s="237"/>
    </row>
    <row r="13" spans="1:7" ht="27.6">
      <c r="A13" s="245" t="s">
        <v>243</v>
      </c>
      <c r="B13" s="239" t="s">
        <v>244</v>
      </c>
      <c r="C13" s="238" t="s">
        <v>242</v>
      </c>
      <c r="D13" s="240">
        <v>320000</v>
      </c>
      <c r="G13" s="237"/>
    </row>
    <row r="14" spans="1:7" ht="27.6">
      <c r="A14" s="245" t="s">
        <v>245</v>
      </c>
      <c r="B14" s="239" t="s">
        <v>246</v>
      </c>
      <c r="C14" s="238" t="s">
        <v>242</v>
      </c>
      <c r="D14" s="240">
        <v>744500</v>
      </c>
      <c r="G14" s="237"/>
    </row>
    <row r="15" spans="1:7" ht="27.6">
      <c r="A15" s="245" t="s">
        <v>247</v>
      </c>
      <c r="B15" s="239" t="s">
        <v>248</v>
      </c>
      <c r="C15" s="238" t="s">
        <v>242</v>
      </c>
      <c r="D15" s="240">
        <v>399500</v>
      </c>
      <c r="G15" s="237"/>
    </row>
    <row r="16" spans="1:7" ht="27.6">
      <c r="A16" s="245" t="s">
        <v>249</v>
      </c>
      <c r="B16" s="239" t="s">
        <v>250</v>
      </c>
      <c r="C16" s="238" t="s">
        <v>242</v>
      </c>
      <c r="D16" s="240">
        <v>1000000</v>
      </c>
      <c r="G16" s="237"/>
    </row>
    <row r="17" spans="1:7" ht="27.6">
      <c r="A17" s="245" t="s">
        <v>251</v>
      </c>
      <c r="B17" s="239" t="s">
        <v>252</v>
      </c>
      <c r="C17" s="238" t="s">
        <v>242</v>
      </c>
      <c r="D17" s="240">
        <v>1210000</v>
      </c>
      <c r="G17" s="237"/>
    </row>
    <row r="18" spans="1:7" ht="27.6">
      <c r="A18" s="245" t="s">
        <v>253</v>
      </c>
      <c r="B18" s="239" t="s">
        <v>254</v>
      </c>
      <c r="C18" s="238" t="s">
        <v>242</v>
      </c>
      <c r="D18" s="240">
        <v>33400</v>
      </c>
      <c r="G18" s="237"/>
    </row>
    <row r="19" spans="1:7" ht="27.6">
      <c r="A19" s="245" t="s">
        <v>255</v>
      </c>
      <c r="B19" s="239" t="s">
        <v>256</v>
      </c>
      <c r="C19" s="238" t="s">
        <v>242</v>
      </c>
      <c r="D19" s="240">
        <v>60600</v>
      </c>
      <c r="G19" s="237"/>
    </row>
    <row r="20" spans="1:7" ht="27.6">
      <c r="A20" s="245" t="s">
        <v>257</v>
      </c>
      <c r="B20" s="239" t="s">
        <v>258</v>
      </c>
      <c r="C20" s="238" t="s">
        <v>242</v>
      </c>
      <c r="D20" s="240">
        <v>1870</v>
      </c>
      <c r="G20" s="237"/>
    </row>
    <row r="21" spans="1:7" ht="27.6">
      <c r="A21" s="245" t="s">
        <v>259</v>
      </c>
      <c r="B21" s="239" t="s">
        <v>260</v>
      </c>
      <c r="C21" s="238" t="s">
        <v>242</v>
      </c>
      <c r="D21" s="240">
        <v>169500</v>
      </c>
      <c r="G21" s="237"/>
    </row>
    <row r="22" spans="1:7" ht="27.6">
      <c r="A22" s="245" t="s">
        <v>261</v>
      </c>
      <c r="B22" s="239" t="s">
        <v>262</v>
      </c>
      <c r="C22" s="238" t="s">
        <v>242</v>
      </c>
      <c r="D22" s="240">
        <v>223000</v>
      </c>
      <c r="G22" s="237"/>
    </row>
    <row r="23" spans="1:7" ht="27.6">
      <c r="A23" s="245" t="s">
        <v>263</v>
      </c>
      <c r="B23" s="239" t="s">
        <v>264</v>
      </c>
      <c r="C23" s="238" t="s">
        <v>242</v>
      </c>
      <c r="D23" s="240">
        <v>9900</v>
      </c>
      <c r="G23" s="237"/>
    </row>
    <row r="24" spans="1:7" ht="27.6">
      <c r="A24" s="245" t="s">
        <v>265</v>
      </c>
      <c r="B24" s="239" t="s">
        <v>266</v>
      </c>
      <c r="C24" s="238" t="s">
        <v>15</v>
      </c>
      <c r="D24" s="240">
        <v>251000</v>
      </c>
      <c r="G24" s="237"/>
    </row>
    <row r="25" spans="1:7" ht="27.6">
      <c r="A25" s="245" t="s">
        <v>267</v>
      </c>
      <c r="B25" s="239" t="s">
        <v>268</v>
      </c>
      <c r="C25" s="238" t="s">
        <v>15</v>
      </c>
      <c r="D25" s="240">
        <v>285000</v>
      </c>
      <c r="G25" s="237"/>
    </row>
    <row r="26" spans="1:7">
      <c r="A26" s="245" t="s">
        <v>269</v>
      </c>
      <c r="B26" s="239" t="s">
        <v>270</v>
      </c>
      <c r="C26" s="238" t="s">
        <v>158</v>
      </c>
      <c r="D26" s="240">
        <v>78900</v>
      </c>
      <c r="G26" s="237"/>
    </row>
    <row r="27" spans="1:7" ht="27.6">
      <c r="A27" s="245" t="s">
        <v>271</v>
      </c>
      <c r="B27" s="239" t="s">
        <v>272</v>
      </c>
      <c r="C27" s="238" t="s">
        <v>158</v>
      </c>
      <c r="D27" s="240">
        <v>134500</v>
      </c>
      <c r="G27" s="237"/>
    </row>
    <row r="28" spans="1:7" ht="27.6">
      <c r="A28" s="245" t="s">
        <v>273</v>
      </c>
      <c r="B28" s="239" t="s">
        <v>274</v>
      </c>
      <c r="C28" s="238" t="s">
        <v>158</v>
      </c>
      <c r="D28" s="240">
        <v>115000</v>
      </c>
      <c r="G28" s="237"/>
    </row>
    <row r="29" spans="1:7" ht="27.6">
      <c r="A29" s="245" t="s">
        <v>275</v>
      </c>
      <c r="B29" s="239" t="s">
        <v>276</v>
      </c>
      <c r="C29" s="238" t="s">
        <v>158</v>
      </c>
      <c r="D29" s="240">
        <v>95300</v>
      </c>
      <c r="G29" s="237"/>
    </row>
    <row r="30" spans="1:7">
      <c r="A30" s="245" t="s">
        <v>277</v>
      </c>
      <c r="B30" s="239" t="s">
        <v>278</v>
      </c>
      <c r="C30" s="238" t="s">
        <v>158</v>
      </c>
      <c r="D30" s="240">
        <v>1410000</v>
      </c>
      <c r="G30" s="237"/>
    </row>
    <row r="31" spans="1:7">
      <c r="A31" s="245" t="s">
        <v>279</v>
      </c>
      <c r="B31" s="239" t="s">
        <v>280</v>
      </c>
      <c r="C31" s="238" t="s">
        <v>158</v>
      </c>
      <c r="D31" s="240">
        <v>1689000</v>
      </c>
      <c r="G31" s="237"/>
    </row>
    <row r="32" spans="1:7">
      <c r="A32" s="245" t="s">
        <v>281</v>
      </c>
      <c r="B32" s="239" t="s">
        <v>282</v>
      </c>
      <c r="C32" s="238" t="s">
        <v>158</v>
      </c>
      <c r="D32" s="240">
        <v>267500</v>
      </c>
      <c r="G32" s="237"/>
    </row>
    <row r="33" spans="1:7" ht="27.6">
      <c r="A33" s="245" t="s">
        <v>283</v>
      </c>
      <c r="B33" s="239" t="s">
        <v>284</v>
      </c>
      <c r="C33" s="238" t="s">
        <v>158</v>
      </c>
      <c r="D33" s="240">
        <v>174500</v>
      </c>
      <c r="G33" s="237"/>
    </row>
    <row r="34" spans="1:7">
      <c r="A34" s="245" t="s">
        <v>285</v>
      </c>
      <c r="B34" s="239" t="s">
        <v>286</v>
      </c>
      <c r="C34" s="238" t="s">
        <v>242</v>
      </c>
      <c r="D34" s="240">
        <v>81400</v>
      </c>
      <c r="G34" s="237"/>
    </row>
    <row r="35" spans="1:7">
      <c r="A35" s="245" t="s">
        <v>287</v>
      </c>
      <c r="B35" s="239" t="s">
        <v>288</v>
      </c>
      <c r="C35" s="238" t="s">
        <v>15</v>
      </c>
      <c r="D35" s="240">
        <v>25200</v>
      </c>
      <c r="G35" s="237"/>
    </row>
    <row r="36" spans="1:7" ht="27.6">
      <c r="A36" s="245" t="s">
        <v>289</v>
      </c>
      <c r="B36" s="239" t="s">
        <v>290</v>
      </c>
      <c r="C36" s="238" t="s">
        <v>15</v>
      </c>
      <c r="D36" s="240">
        <v>48100</v>
      </c>
      <c r="G36" s="237"/>
    </row>
    <row r="37" spans="1:7">
      <c r="A37" s="245" t="s">
        <v>291</v>
      </c>
      <c r="B37" s="239" t="s">
        <v>292</v>
      </c>
      <c r="C37" s="238" t="s">
        <v>15</v>
      </c>
      <c r="D37" s="240">
        <v>41500</v>
      </c>
      <c r="G37" s="237"/>
    </row>
    <row r="38" spans="1:7" ht="27.6">
      <c r="A38" s="245" t="s">
        <v>293</v>
      </c>
      <c r="B38" s="239" t="s">
        <v>294</v>
      </c>
      <c r="C38" s="238" t="s">
        <v>15</v>
      </c>
      <c r="D38" s="240">
        <v>43400</v>
      </c>
      <c r="G38" s="237"/>
    </row>
    <row r="39" spans="1:7">
      <c r="A39" s="245" t="s">
        <v>295</v>
      </c>
      <c r="B39" s="239" t="s">
        <v>296</v>
      </c>
      <c r="C39" s="238" t="s">
        <v>15</v>
      </c>
      <c r="D39" s="240">
        <v>15500</v>
      </c>
      <c r="G39" s="237"/>
    </row>
    <row r="40" spans="1:7" ht="27.6">
      <c r="A40" s="245" t="s">
        <v>297</v>
      </c>
      <c r="B40" s="239" t="s">
        <v>298</v>
      </c>
      <c r="C40" s="238" t="s">
        <v>15</v>
      </c>
      <c r="D40" s="240">
        <v>17100</v>
      </c>
      <c r="G40" s="237"/>
    </row>
    <row r="41" spans="1:7" ht="27.6">
      <c r="A41" s="245" t="s">
        <v>299</v>
      </c>
      <c r="B41" s="239" t="s">
        <v>300</v>
      </c>
      <c r="C41" s="238" t="s">
        <v>15</v>
      </c>
      <c r="D41" s="240">
        <v>34900</v>
      </c>
      <c r="G41" s="237"/>
    </row>
    <row r="42" spans="1:7">
      <c r="A42" s="245" t="s">
        <v>301</v>
      </c>
      <c r="B42" s="239" t="s">
        <v>302</v>
      </c>
      <c r="C42" s="238" t="s">
        <v>15</v>
      </c>
      <c r="D42" s="240">
        <v>96900</v>
      </c>
      <c r="G42" s="237"/>
    </row>
    <row r="43" spans="1:7" ht="27.6">
      <c r="A43" s="245" t="s">
        <v>303</v>
      </c>
      <c r="B43" s="239" t="s">
        <v>304</v>
      </c>
      <c r="C43" s="238" t="s">
        <v>15</v>
      </c>
      <c r="D43" s="240">
        <v>22100</v>
      </c>
      <c r="G43" s="237"/>
    </row>
    <row r="44" spans="1:7" ht="27.6">
      <c r="A44" s="245" t="s">
        <v>305</v>
      </c>
      <c r="B44" s="239" t="s">
        <v>306</v>
      </c>
      <c r="C44" s="238" t="s">
        <v>15</v>
      </c>
      <c r="D44" s="240">
        <v>32600</v>
      </c>
      <c r="G44" s="237"/>
    </row>
    <row r="45" spans="1:7" ht="27.6">
      <c r="A45" s="245" t="s">
        <v>307</v>
      </c>
      <c r="B45" s="239" t="s">
        <v>308</v>
      </c>
      <c r="C45" s="238" t="s">
        <v>15</v>
      </c>
      <c r="D45" s="240">
        <v>241000</v>
      </c>
      <c r="G45" s="237"/>
    </row>
    <row r="46" spans="1:7">
      <c r="A46" s="245" t="s">
        <v>309</v>
      </c>
      <c r="B46" s="239" t="s">
        <v>310</v>
      </c>
      <c r="C46" s="238" t="s">
        <v>15</v>
      </c>
      <c r="D46" s="240">
        <v>16000</v>
      </c>
      <c r="G46" s="237"/>
    </row>
    <row r="47" spans="1:7" ht="27.6">
      <c r="A47" s="245" t="s">
        <v>311</v>
      </c>
      <c r="B47" s="239" t="s">
        <v>312</v>
      </c>
      <c r="C47" s="238" t="s">
        <v>15</v>
      </c>
      <c r="D47" s="240">
        <v>14100</v>
      </c>
      <c r="G47" s="237"/>
    </row>
    <row r="48" spans="1:7">
      <c r="A48" s="245" t="s">
        <v>313</v>
      </c>
      <c r="B48" s="239" t="s">
        <v>314</v>
      </c>
      <c r="C48" s="238" t="s">
        <v>242</v>
      </c>
      <c r="D48" s="240">
        <v>48100</v>
      </c>
      <c r="G48" s="237"/>
    </row>
    <row r="49" spans="1:7">
      <c r="A49" s="245" t="s">
        <v>315</v>
      </c>
      <c r="B49" s="239" t="s">
        <v>316</v>
      </c>
      <c r="C49" s="238" t="s">
        <v>15</v>
      </c>
      <c r="D49" s="240">
        <v>21300</v>
      </c>
      <c r="G49" s="237"/>
    </row>
    <row r="50" spans="1:7">
      <c r="A50" s="245" t="s">
        <v>317</v>
      </c>
      <c r="B50" s="239" t="s">
        <v>318</v>
      </c>
      <c r="C50" s="238" t="s">
        <v>15</v>
      </c>
      <c r="D50" s="240">
        <v>124500</v>
      </c>
      <c r="G50" s="237"/>
    </row>
    <row r="51" spans="1:7" ht="27.6">
      <c r="A51" s="245" t="s">
        <v>319</v>
      </c>
      <c r="B51" s="239" t="s">
        <v>320</v>
      </c>
      <c r="C51" s="238" t="s">
        <v>15</v>
      </c>
      <c r="D51" s="240">
        <v>142000</v>
      </c>
      <c r="G51" s="237"/>
    </row>
    <row r="52" spans="1:7">
      <c r="A52" s="245" t="s">
        <v>321</v>
      </c>
      <c r="B52" s="239" t="s">
        <v>322</v>
      </c>
      <c r="C52" s="238" t="s">
        <v>161</v>
      </c>
      <c r="D52" s="240">
        <v>76100</v>
      </c>
      <c r="G52" s="237"/>
    </row>
    <row r="53" spans="1:7">
      <c r="A53" s="245" t="s">
        <v>323</v>
      </c>
      <c r="B53" s="239" t="s">
        <v>324</v>
      </c>
      <c r="C53" s="238" t="s">
        <v>15</v>
      </c>
      <c r="D53" s="240">
        <v>64600</v>
      </c>
      <c r="G53" s="237"/>
    </row>
    <row r="54" spans="1:7" ht="27.6">
      <c r="A54" s="245" t="s">
        <v>325</v>
      </c>
      <c r="B54" s="239" t="s">
        <v>326</v>
      </c>
      <c r="C54" s="238" t="s">
        <v>161</v>
      </c>
      <c r="D54" s="240">
        <v>20200</v>
      </c>
      <c r="G54" s="237"/>
    </row>
    <row r="55" spans="1:7">
      <c r="A55" s="245" t="s">
        <v>327</v>
      </c>
      <c r="B55" s="239" t="s">
        <v>328</v>
      </c>
      <c r="C55" s="238" t="s">
        <v>161</v>
      </c>
      <c r="D55" s="240">
        <v>107500</v>
      </c>
      <c r="G55" s="237"/>
    </row>
    <row r="56" spans="1:7" ht="41.4">
      <c r="A56" s="245" t="s">
        <v>329</v>
      </c>
      <c r="B56" s="239" t="s">
        <v>330</v>
      </c>
      <c r="C56" s="238" t="s">
        <v>15</v>
      </c>
      <c r="D56" s="240">
        <v>32000</v>
      </c>
      <c r="G56" s="237"/>
    </row>
    <row r="57" spans="1:7" ht="27.6">
      <c r="A57" s="245" t="s">
        <v>331</v>
      </c>
      <c r="B57" s="239" t="s">
        <v>332</v>
      </c>
      <c r="C57" s="238" t="s">
        <v>15</v>
      </c>
      <c r="D57" s="240">
        <v>34000</v>
      </c>
      <c r="G57" s="237"/>
    </row>
    <row r="58" spans="1:7" ht="41.4">
      <c r="A58" s="245" t="s">
        <v>333</v>
      </c>
      <c r="B58" s="239" t="s">
        <v>334</v>
      </c>
      <c r="C58" s="238" t="s">
        <v>335</v>
      </c>
      <c r="D58" s="240">
        <v>2200</v>
      </c>
      <c r="G58" s="237"/>
    </row>
    <row r="59" spans="1:7">
      <c r="A59" s="245" t="s">
        <v>336</v>
      </c>
      <c r="B59" s="239" t="s">
        <v>337</v>
      </c>
      <c r="C59" s="238" t="s">
        <v>242</v>
      </c>
      <c r="D59" s="240">
        <v>48500</v>
      </c>
      <c r="G59" s="237"/>
    </row>
    <row r="60" spans="1:7" ht="27.6">
      <c r="A60" s="245" t="s">
        <v>338</v>
      </c>
      <c r="B60" s="239" t="s">
        <v>339</v>
      </c>
      <c r="C60" s="238" t="s">
        <v>206</v>
      </c>
      <c r="D60" s="240">
        <v>75600</v>
      </c>
      <c r="G60" s="237"/>
    </row>
    <row r="61" spans="1:7">
      <c r="A61" s="245" t="s">
        <v>340</v>
      </c>
      <c r="B61" s="239" t="s">
        <v>341</v>
      </c>
      <c r="C61" s="238" t="s">
        <v>206</v>
      </c>
      <c r="D61" s="240">
        <v>72400</v>
      </c>
      <c r="G61" s="237"/>
    </row>
    <row r="62" spans="1:7">
      <c r="A62" s="245" t="s">
        <v>342</v>
      </c>
      <c r="B62" s="239" t="s">
        <v>343</v>
      </c>
      <c r="C62" s="238" t="s">
        <v>242</v>
      </c>
      <c r="D62" s="240">
        <v>17200</v>
      </c>
      <c r="G62" s="237"/>
    </row>
    <row r="63" spans="1:7">
      <c r="A63" s="245" t="s">
        <v>344</v>
      </c>
      <c r="B63" s="239" t="s">
        <v>345</v>
      </c>
      <c r="C63" s="238" t="s">
        <v>242</v>
      </c>
      <c r="D63" s="240">
        <v>20000</v>
      </c>
      <c r="G63" s="237"/>
    </row>
    <row r="64" spans="1:7">
      <c r="A64" s="245" t="s">
        <v>346</v>
      </c>
      <c r="B64" s="239" t="s">
        <v>347</v>
      </c>
      <c r="C64" s="238" t="s">
        <v>242</v>
      </c>
      <c r="D64" s="240">
        <v>27700</v>
      </c>
      <c r="G64" s="237"/>
    </row>
    <row r="65" spans="1:7">
      <c r="A65" s="245" t="s">
        <v>348</v>
      </c>
      <c r="B65" s="239" t="s">
        <v>349</v>
      </c>
      <c r="C65" s="238" t="s">
        <v>242</v>
      </c>
      <c r="D65" s="240">
        <v>31800</v>
      </c>
      <c r="G65" s="237"/>
    </row>
    <row r="66" spans="1:7">
      <c r="A66" s="245" t="s">
        <v>350</v>
      </c>
      <c r="B66" s="239" t="s">
        <v>351</v>
      </c>
      <c r="C66" s="238" t="s">
        <v>242</v>
      </c>
      <c r="D66" s="240">
        <v>79400</v>
      </c>
      <c r="G66" s="237"/>
    </row>
    <row r="67" spans="1:7" ht="27.6">
      <c r="A67" s="245" t="s">
        <v>352</v>
      </c>
      <c r="B67" s="239" t="s">
        <v>353</v>
      </c>
      <c r="C67" s="238" t="s">
        <v>242</v>
      </c>
      <c r="D67" s="240">
        <v>1640</v>
      </c>
      <c r="G67" s="237"/>
    </row>
    <row r="68" spans="1:7">
      <c r="A68" s="245" t="s">
        <v>354</v>
      </c>
      <c r="B68" s="239" t="s">
        <v>355</v>
      </c>
      <c r="C68" s="238" t="s">
        <v>161</v>
      </c>
      <c r="D68" s="240">
        <v>25100</v>
      </c>
      <c r="G68" s="237"/>
    </row>
    <row r="69" spans="1:7">
      <c r="A69" s="245" t="s">
        <v>356</v>
      </c>
      <c r="B69" s="239" t="s">
        <v>357</v>
      </c>
      <c r="C69" s="238" t="s">
        <v>161</v>
      </c>
      <c r="D69" s="240">
        <v>14900</v>
      </c>
      <c r="G69" s="237"/>
    </row>
    <row r="70" spans="1:7">
      <c r="A70" s="245" t="s">
        <v>358</v>
      </c>
      <c r="B70" s="239" t="s">
        <v>359</v>
      </c>
      <c r="C70" s="238" t="s">
        <v>242</v>
      </c>
      <c r="D70" s="240">
        <v>4350</v>
      </c>
      <c r="G70" s="237"/>
    </row>
    <row r="71" spans="1:7">
      <c r="A71" s="245" t="s">
        <v>360</v>
      </c>
      <c r="B71" s="239" t="s">
        <v>361</v>
      </c>
      <c r="C71" s="238" t="s">
        <v>15</v>
      </c>
      <c r="D71" s="240">
        <v>43400</v>
      </c>
      <c r="G71" s="237"/>
    </row>
    <row r="72" spans="1:7" ht="41.4">
      <c r="A72" s="245" t="s">
        <v>362</v>
      </c>
      <c r="B72" s="239" t="s">
        <v>363</v>
      </c>
      <c r="C72" s="238" t="s">
        <v>15</v>
      </c>
      <c r="D72" s="240">
        <v>13500</v>
      </c>
      <c r="G72" s="237"/>
    </row>
    <row r="73" spans="1:7" ht="27.6">
      <c r="A73" s="245" t="s">
        <v>188</v>
      </c>
      <c r="B73" s="239" t="s">
        <v>364</v>
      </c>
      <c r="C73" s="238" t="s">
        <v>15</v>
      </c>
      <c r="D73" s="240">
        <v>61700</v>
      </c>
      <c r="G73" s="237"/>
    </row>
    <row r="74" spans="1:7" ht="41.4">
      <c r="A74" s="245" t="s">
        <v>189</v>
      </c>
      <c r="B74" s="239" t="s">
        <v>365</v>
      </c>
      <c r="C74" s="238" t="s">
        <v>15</v>
      </c>
      <c r="D74" s="240">
        <v>13100</v>
      </c>
      <c r="G74" s="237"/>
    </row>
    <row r="75" spans="1:7" ht="27.6">
      <c r="A75" s="245" t="s">
        <v>366</v>
      </c>
      <c r="B75" s="239" t="s">
        <v>367</v>
      </c>
      <c r="C75" s="238" t="s">
        <v>242</v>
      </c>
      <c r="D75" s="240">
        <v>29900</v>
      </c>
      <c r="G75" s="237"/>
    </row>
    <row r="76" spans="1:7" ht="27.6">
      <c r="A76" s="245" t="s">
        <v>368</v>
      </c>
      <c r="B76" s="239" t="s">
        <v>369</v>
      </c>
      <c r="C76" s="238" t="s">
        <v>242</v>
      </c>
      <c r="D76" s="240">
        <v>2660</v>
      </c>
      <c r="G76" s="237"/>
    </row>
    <row r="77" spans="1:7" ht="27.6">
      <c r="A77" s="245" t="s">
        <v>370</v>
      </c>
      <c r="B77" s="239" t="s">
        <v>371</v>
      </c>
      <c r="C77" s="238" t="s">
        <v>242</v>
      </c>
      <c r="D77" s="240">
        <v>10100</v>
      </c>
      <c r="G77" s="237"/>
    </row>
    <row r="78" spans="1:7" ht="41.4">
      <c r="A78" s="245" t="s">
        <v>372</v>
      </c>
      <c r="B78" s="239" t="s">
        <v>373</v>
      </c>
      <c r="C78" s="238" t="s">
        <v>242</v>
      </c>
      <c r="D78" s="240">
        <v>1240</v>
      </c>
      <c r="G78" s="237"/>
    </row>
    <row r="79" spans="1:7">
      <c r="A79" s="245" t="s">
        <v>374</v>
      </c>
      <c r="B79" s="239" t="s">
        <v>375</v>
      </c>
      <c r="C79" s="238" t="s">
        <v>15</v>
      </c>
      <c r="D79" s="240">
        <v>20700</v>
      </c>
      <c r="G79" s="237"/>
    </row>
    <row r="80" spans="1:7" ht="27.6">
      <c r="A80" s="245" t="s">
        <v>376</v>
      </c>
      <c r="B80" s="239" t="s">
        <v>377</v>
      </c>
      <c r="C80" s="238" t="s">
        <v>15</v>
      </c>
      <c r="D80" s="240">
        <v>3770</v>
      </c>
      <c r="G80" s="237"/>
    </row>
    <row r="81" spans="1:7" ht="27.6">
      <c r="A81" s="245" t="s">
        <v>378</v>
      </c>
      <c r="B81" s="239" t="s">
        <v>379</v>
      </c>
      <c r="C81" s="238" t="s">
        <v>15</v>
      </c>
      <c r="D81" s="240">
        <v>31400</v>
      </c>
      <c r="G81" s="237"/>
    </row>
    <row r="82" spans="1:7" ht="27.6">
      <c r="A82" s="245" t="s">
        <v>380</v>
      </c>
      <c r="B82" s="239" t="s">
        <v>381</v>
      </c>
      <c r="C82" s="238" t="s">
        <v>15</v>
      </c>
      <c r="D82" s="240">
        <v>5660</v>
      </c>
      <c r="G82" s="237"/>
    </row>
    <row r="83" spans="1:7" ht="41.4">
      <c r="A83" s="245" t="s">
        <v>382</v>
      </c>
      <c r="B83" s="239" t="s">
        <v>383</v>
      </c>
      <c r="C83" s="238" t="s">
        <v>15</v>
      </c>
      <c r="D83" s="240">
        <v>4040</v>
      </c>
      <c r="G83" s="237"/>
    </row>
    <row r="84" spans="1:7" ht="27.6">
      <c r="A84" s="245" t="s">
        <v>384</v>
      </c>
      <c r="B84" s="239" t="s">
        <v>385</v>
      </c>
      <c r="C84" s="238" t="s">
        <v>15</v>
      </c>
      <c r="D84" s="240">
        <v>1570</v>
      </c>
      <c r="G84" s="237"/>
    </row>
    <row r="85" spans="1:7" ht="27.6">
      <c r="A85" s="245" t="s">
        <v>386</v>
      </c>
      <c r="B85" s="239" t="s">
        <v>387</v>
      </c>
      <c r="C85" s="238" t="s">
        <v>15</v>
      </c>
      <c r="D85" s="240">
        <v>9410</v>
      </c>
      <c r="G85" s="237"/>
    </row>
    <row r="86" spans="1:7" ht="27.6">
      <c r="A86" s="245" t="s">
        <v>388</v>
      </c>
      <c r="B86" s="239" t="s">
        <v>389</v>
      </c>
      <c r="C86" s="238" t="s">
        <v>158</v>
      </c>
      <c r="D86" s="240">
        <v>132500</v>
      </c>
      <c r="G86" s="237"/>
    </row>
    <row r="87" spans="1:7" ht="27.6">
      <c r="A87" s="245" t="s">
        <v>190</v>
      </c>
      <c r="B87" s="239" t="s">
        <v>390</v>
      </c>
      <c r="C87" s="238" t="s">
        <v>158</v>
      </c>
      <c r="D87" s="240">
        <v>58200</v>
      </c>
      <c r="G87" s="237"/>
    </row>
    <row r="88" spans="1:7" ht="27.6">
      <c r="A88" s="245" t="s">
        <v>106</v>
      </c>
      <c r="B88" s="239" t="s">
        <v>391</v>
      </c>
      <c r="C88" s="238" t="s">
        <v>158</v>
      </c>
      <c r="D88" s="240">
        <v>132500</v>
      </c>
      <c r="G88" s="237"/>
    </row>
    <row r="89" spans="1:7" ht="27.6">
      <c r="A89" s="245" t="s">
        <v>134</v>
      </c>
      <c r="B89" s="239" t="s">
        <v>392</v>
      </c>
      <c r="C89" s="238" t="s">
        <v>158</v>
      </c>
      <c r="D89" s="240">
        <v>1282000</v>
      </c>
      <c r="G89" s="237"/>
    </row>
    <row r="90" spans="1:7" ht="55.2">
      <c r="A90" s="245" t="s">
        <v>144</v>
      </c>
      <c r="B90" s="239" t="s">
        <v>393</v>
      </c>
      <c r="C90" s="238" t="s">
        <v>158</v>
      </c>
      <c r="D90" s="240">
        <v>47100</v>
      </c>
      <c r="G90" s="237"/>
    </row>
    <row r="91" spans="1:7" ht="41.4">
      <c r="A91" s="245" t="s">
        <v>394</v>
      </c>
      <c r="B91" s="239" t="s">
        <v>395</v>
      </c>
      <c r="C91" s="238" t="s">
        <v>158</v>
      </c>
      <c r="D91" s="240">
        <v>117500</v>
      </c>
      <c r="G91" s="237"/>
    </row>
    <row r="92" spans="1:7" ht="41.4">
      <c r="A92" s="245" t="s">
        <v>182</v>
      </c>
      <c r="B92" s="239" t="s">
        <v>396</v>
      </c>
      <c r="C92" s="238" t="s">
        <v>158</v>
      </c>
      <c r="D92" s="240">
        <v>626500</v>
      </c>
      <c r="G92" s="237"/>
    </row>
    <row r="93" spans="1:7" ht="55.2">
      <c r="A93" s="245" t="s">
        <v>397</v>
      </c>
      <c r="B93" s="239" t="s">
        <v>398</v>
      </c>
      <c r="C93" s="238" t="s">
        <v>158</v>
      </c>
      <c r="D93" s="240">
        <v>84700</v>
      </c>
      <c r="G93" s="237"/>
    </row>
    <row r="94" spans="1:7" ht="41.4">
      <c r="A94" s="245" t="s">
        <v>107</v>
      </c>
      <c r="B94" s="239" t="s">
        <v>399</v>
      </c>
      <c r="C94" s="238" t="s">
        <v>158</v>
      </c>
      <c r="D94" s="240">
        <v>130000</v>
      </c>
      <c r="G94" s="237"/>
    </row>
    <row r="95" spans="1:7" ht="27.6">
      <c r="A95" s="245" t="s">
        <v>400</v>
      </c>
      <c r="B95" s="239" t="s">
        <v>401</v>
      </c>
      <c r="C95" s="238" t="s">
        <v>158</v>
      </c>
      <c r="D95" s="240">
        <v>90500</v>
      </c>
      <c r="G95" s="237"/>
    </row>
    <row r="96" spans="1:7" ht="27.6">
      <c r="A96" s="245" t="s">
        <v>145</v>
      </c>
      <c r="B96" s="239" t="s">
        <v>402</v>
      </c>
      <c r="C96" s="238" t="s">
        <v>15</v>
      </c>
      <c r="D96" s="240">
        <v>4500</v>
      </c>
      <c r="G96" s="237"/>
    </row>
    <row r="97" spans="1:7" ht="27.6">
      <c r="A97" s="245" t="s">
        <v>403</v>
      </c>
      <c r="B97" s="239" t="s">
        <v>404</v>
      </c>
      <c r="C97" s="238" t="s">
        <v>158</v>
      </c>
      <c r="D97" s="240">
        <v>65300</v>
      </c>
      <c r="G97" s="237"/>
    </row>
    <row r="98" spans="1:7">
      <c r="A98" s="245" t="s">
        <v>405</v>
      </c>
      <c r="B98" s="239" t="s">
        <v>406</v>
      </c>
      <c r="C98" s="238" t="s">
        <v>158</v>
      </c>
      <c r="D98" s="240">
        <v>242000</v>
      </c>
      <c r="G98" s="237"/>
    </row>
    <row r="99" spans="1:7" ht="41.4">
      <c r="A99" s="245" t="s">
        <v>207</v>
      </c>
      <c r="B99" s="239" t="s">
        <v>407</v>
      </c>
      <c r="C99" s="238" t="s">
        <v>158</v>
      </c>
      <c r="D99" s="240">
        <v>34800</v>
      </c>
      <c r="G99" s="237"/>
    </row>
    <row r="100" spans="1:7" ht="27.6">
      <c r="A100" s="245" t="s">
        <v>408</v>
      </c>
      <c r="B100" s="239" t="s">
        <v>409</v>
      </c>
      <c r="C100" s="238" t="s">
        <v>158</v>
      </c>
      <c r="D100" s="240">
        <v>33900</v>
      </c>
      <c r="G100" s="237"/>
    </row>
    <row r="101" spans="1:7" ht="27.6">
      <c r="A101" s="245" t="s">
        <v>156</v>
      </c>
      <c r="B101" s="239" t="s">
        <v>410</v>
      </c>
      <c r="C101" s="238" t="s">
        <v>15</v>
      </c>
      <c r="D101" s="240">
        <v>7050</v>
      </c>
      <c r="G101" s="237"/>
    </row>
    <row r="102" spans="1:7" ht="27.6">
      <c r="A102" s="245" t="s">
        <v>411</v>
      </c>
      <c r="B102" s="239" t="s">
        <v>412</v>
      </c>
      <c r="C102" s="238" t="s">
        <v>158</v>
      </c>
      <c r="D102" s="240">
        <v>66300</v>
      </c>
      <c r="G102" s="237"/>
    </row>
    <row r="103" spans="1:7" ht="27.6">
      <c r="A103" s="245" t="s">
        <v>413</v>
      </c>
      <c r="B103" s="239" t="s">
        <v>414</v>
      </c>
      <c r="C103" s="238" t="s">
        <v>15</v>
      </c>
      <c r="D103" s="240">
        <v>510</v>
      </c>
      <c r="G103" s="237"/>
    </row>
    <row r="104" spans="1:7" ht="27.6">
      <c r="A104" s="245" t="s">
        <v>415</v>
      </c>
      <c r="B104" s="239" t="s">
        <v>416</v>
      </c>
      <c r="C104" s="238" t="s">
        <v>158</v>
      </c>
      <c r="D104" s="240">
        <v>37800</v>
      </c>
      <c r="G104" s="237"/>
    </row>
    <row r="105" spans="1:7" ht="41.4">
      <c r="A105" s="245" t="s">
        <v>417</v>
      </c>
      <c r="B105" s="239" t="s">
        <v>418</v>
      </c>
      <c r="C105" s="238" t="s">
        <v>158</v>
      </c>
      <c r="D105" s="240">
        <v>6270</v>
      </c>
      <c r="G105" s="237"/>
    </row>
    <row r="106" spans="1:7" ht="41.4">
      <c r="A106" s="245" t="s">
        <v>419</v>
      </c>
      <c r="B106" s="239" t="s">
        <v>420</v>
      </c>
      <c r="C106" s="238" t="s">
        <v>158</v>
      </c>
      <c r="D106" s="240">
        <v>13000</v>
      </c>
      <c r="G106" s="237"/>
    </row>
    <row r="107" spans="1:7" ht="41.4">
      <c r="A107" s="245" t="s">
        <v>421</v>
      </c>
      <c r="B107" s="239" t="s">
        <v>422</v>
      </c>
      <c r="C107" s="238" t="s">
        <v>158</v>
      </c>
      <c r="D107" s="240">
        <v>61100</v>
      </c>
      <c r="G107" s="237"/>
    </row>
    <row r="108" spans="1:7" ht="41.4">
      <c r="A108" s="245" t="s">
        <v>423</v>
      </c>
      <c r="B108" s="239" t="s">
        <v>424</v>
      </c>
      <c r="C108" s="238" t="s">
        <v>158</v>
      </c>
      <c r="D108" s="240">
        <v>76800</v>
      </c>
      <c r="G108" s="237"/>
    </row>
    <row r="109" spans="1:7" ht="41.4">
      <c r="A109" s="245" t="s">
        <v>425</v>
      </c>
      <c r="B109" s="239" t="s">
        <v>426</v>
      </c>
      <c r="C109" s="238" t="s">
        <v>158</v>
      </c>
      <c r="D109" s="240">
        <v>103000</v>
      </c>
      <c r="G109" s="237"/>
    </row>
    <row r="110" spans="1:7" ht="27.6">
      <c r="A110" s="245" t="s">
        <v>427</v>
      </c>
      <c r="B110" s="239" t="s">
        <v>428</v>
      </c>
      <c r="C110" s="238" t="s">
        <v>158</v>
      </c>
      <c r="D110" s="240"/>
      <c r="G110" s="237"/>
    </row>
    <row r="111" spans="1:7">
      <c r="A111" s="245" t="s">
        <v>429</v>
      </c>
      <c r="B111" s="239" t="s">
        <v>430</v>
      </c>
      <c r="C111" s="238" t="s">
        <v>15</v>
      </c>
      <c r="D111" s="240">
        <v>2740</v>
      </c>
      <c r="G111" s="237"/>
    </row>
    <row r="112" spans="1:7" ht="55.2">
      <c r="A112" s="245" t="s">
        <v>431</v>
      </c>
      <c r="B112" s="239" t="s">
        <v>432</v>
      </c>
      <c r="C112" s="238" t="s">
        <v>158</v>
      </c>
      <c r="D112" s="240">
        <v>2540</v>
      </c>
      <c r="G112" s="237"/>
    </row>
    <row r="113" spans="1:7" ht="41.4">
      <c r="A113" s="245" t="s">
        <v>433</v>
      </c>
      <c r="B113" s="239" t="s">
        <v>434</v>
      </c>
      <c r="C113" s="238" t="s">
        <v>158</v>
      </c>
      <c r="D113" s="240">
        <v>4240</v>
      </c>
      <c r="G113" s="237"/>
    </row>
    <row r="114" spans="1:7" ht="27.6">
      <c r="A114" s="245" t="s">
        <v>435</v>
      </c>
      <c r="B114" s="239" t="s">
        <v>436</v>
      </c>
      <c r="C114" s="238" t="s">
        <v>158</v>
      </c>
      <c r="D114" s="240">
        <v>11500</v>
      </c>
      <c r="G114" s="237"/>
    </row>
    <row r="115" spans="1:7" ht="27.6">
      <c r="A115" s="245" t="s">
        <v>437</v>
      </c>
      <c r="B115" s="239" t="s">
        <v>438</v>
      </c>
      <c r="C115" s="238" t="s">
        <v>158</v>
      </c>
      <c r="D115" s="240">
        <v>4030</v>
      </c>
      <c r="G115" s="237"/>
    </row>
    <row r="116" spans="1:7" ht="27.6">
      <c r="A116" s="245" t="s">
        <v>439</v>
      </c>
      <c r="B116" s="239" t="s">
        <v>440</v>
      </c>
      <c r="C116" s="238" t="s">
        <v>158</v>
      </c>
      <c r="D116" s="240">
        <v>17600</v>
      </c>
      <c r="G116" s="237"/>
    </row>
    <row r="117" spans="1:7" ht="27.6">
      <c r="A117" s="245" t="s">
        <v>99</v>
      </c>
      <c r="B117" s="239" t="s">
        <v>441</v>
      </c>
      <c r="C117" s="238" t="s">
        <v>158</v>
      </c>
      <c r="D117" s="240">
        <v>27500</v>
      </c>
      <c r="G117" s="237"/>
    </row>
    <row r="118" spans="1:7" ht="27.6">
      <c r="A118" s="245" t="s">
        <v>442</v>
      </c>
      <c r="B118" s="239" t="s">
        <v>443</v>
      </c>
      <c r="C118" s="238" t="s">
        <v>158</v>
      </c>
      <c r="D118" s="240">
        <v>52900</v>
      </c>
      <c r="G118" s="237"/>
    </row>
    <row r="119" spans="1:7" ht="27.6">
      <c r="A119" s="245" t="s">
        <v>100</v>
      </c>
      <c r="B119" s="239" t="s">
        <v>444</v>
      </c>
      <c r="C119" s="238" t="s">
        <v>158</v>
      </c>
      <c r="D119" s="240">
        <v>218500</v>
      </c>
      <c r="G119" s="237"/>
    </row>
    <row r="120" spans="1:7" ht="55.2">
      <c r="A120" s="245" t="s">
        <v>126</v>
      </c>
      <c r="B120" s="239" t="s">
        <v>445</v>
      </c>
      <c r="C120" s="238" t="s">
        <v>158</v>
      </c>
      <c r="D120" s="240">
        <v>3670</v>
      </c>
      <c r="G120" s="237"/>
    </row>
    <row r="121" spans="1:7" ht="41.4">
      <c r="A121" s="245" t="s">
        <v>446</v>
      </c>
      <c r="B121" s="239" t="s">
        <v>447</v>
      </c>
      <c r="C121" s="238" t="s">
        <v>158</v>
      </c>
      <c r="D121" s="240">
        <v>33100</v>
      </c>
      <c r="G121" s="237"/>
    </row>
    <row r="122" spans="1:7" ht="41.4">
      <c r="A122" s="245" t="s">
        <v>91</v>
      </c>
      <c r="B122" s="239" t="s">
        <v>448</v>
      </c>
      <c r="C122" s="238" t="s">
        <v>158</v>
      </c>
      <c r="D122" s="240">
        <v>13400</v>
      </c>
      <c r="G122" s="237"/>
    </row>
    <row r="123" spans="1:7" ht="41.4">
      <c r="A123" s="245" t="s">
        <v>92</v>
      </c>
      <c r="B123" s="239" t="s">
        <v>449</v>
      </c>
      <c r="C123" s="238" t="s">
        <v>158</v>
      </c>
      <c r="D123" s="240">
        <v>1180</v>
      </c>
      <c r="G123" s="237"/>
    </row>
    <row r="124" spans="1:7" ht="55.2">
      <c r="A124" s="245" t="s">
        <v>135</v>
      </c>
      <c r="B124" s="239" t="s">
        <v>450</v>
      </c>
      <c r="C124" s="238" t="s">
        <v>451</v>
      </c>
      <c r="D124" s="240">
        <v>4760</v>
      </c>
      <c r="G124" s="237"/>
    </row>
    <row r="125" spans="1:7" ht="55.2">
      <c r="A125" s="245" t="s">
        <v>136</v>
      </c>
      <c r="B125" s="239" t="s">
        <v>452</v>
      </c>
      <c r="C125" s="238" t="s">
        <v>451</v>
      </c>
      <c r="D125" s="240">
        <v>4330</v>
      </c>
      <c r="G125" s="237"/>
    </row>
    <row r="126" spans="1:7" ht="55.2">
      <c r="A126" s="245" t="s">
        <v>453</v>
      </c>
      <c r="B126" s="239" t="s">
        <v>454</v>
      </c>
      <c r="C126" s="238" t="s">
        <v>451</v>
      </c>
      <c r="D126" s="240">
        <v>3540</v>
      </c>
      <c r="G126" s="237"/>
    </row>
    <row r="127" spans="1:7">
      <c r="A127" s="245" t="s">
        <v>455</v>
      </c>
      <c r="B127" s="239" t="s">
        <v>456</v>
      </c>
      <c r="C127" s="238" t="s">
        <v>15</v>
      </c>
      <c r="D127" s="240">
        <v>350</v>
      </c>
      <c r="G127" s="237"/>
    </row>
    <row r="128" spans="1:7" ht="27.6">
      <c r="A128" s="245" t="s">
        <v>457</v>
      </c>
      <c r="B128" s="239" t="s">
        <v>458</v>
      </c>
      <c r="C128" s="238" t="s">
        <v>15</v>
      </c>
      <c r="D128" s="240">
        <v>1170</v>
      </c>
      <c r="G128" s="237"/>
    </row>
    <row r="129" spans="1:7" ht="27.6">
      <c r="A129" s="245" t="s">
        <v>459</v>
      </c>
      <c r="B129" s="239" t="s">
        <v>460</v>
      </c>
      <c r="C129" s="238" t="s">
        <v>15</v>
      </c>
      <c r="D129" s="240">
        <v>1540</v>
      </c>
      <c r="G129" s="237"/>
    </row>
    <row r="130" spans="1:7" ht="27.6">
      <c r="A130" s="245" t="s">
        <v>461</v>
      </c>
      <c r="B130" s="239" t="s">
        <v>462</v>
      </c>
      <c r="C130" s="238" t="s">
        <v>15</v>
      </c>
      <c r="D130" s="240">
        <v>1890</v>
      </c>
      <c r="G130" s="237"/>
    </row>
    <row r="131" spans="1:7" ht="27.6">
      <c r="A131" s="245" t="s">
        <v>463</v>
      </c>
      <c r="B131" s="239" t="s">
        <v>464</v>
      </c>
      <c r="C131" s="238" t="s">
        <v>15</v>
      </c>
      <c r="D131" s="240">
        <v>2800</v>
      </c>
      <c r="G131" s="237"/>
    </row>
    <row r="132" spans="1:7" ht="41.4">
      <c r="A132" s="245" t="s">
        <v>465</v>
      </c>
      <c r="B132" s="239" t="s">
        <v>466</v>
      </c>
      <c r="C132" s="238" t="s">
        <v>158</v>
      </c>
      <c r="D132" s="240">
        <v>15600</v>
      </c>
      <c r="G132" s="237"/>
    </row>
    <row r="133" spans="1:7" ht="41.4">
      <c r="A133" s="245" t="s">
        <v>467</v>
      </c>
      <c r="B133" s="239" t="s">
        <v>468</v>
      </c>
      <c r="C133" s="238" t="s">
        <v>158</v>
      </c>
      <c r="D133" s="240">
        <v>18000</v>
      </c>
      <c r="G133" s="237"/>
    </row>
    <row r="134" spans="1:7" ht="41.4">
      <c r="A134" s="245" t="s">
        <v>469</v>
      </c>
      <c r="B134" s="239" t="s">
        <v>470</v>
      </c>
      <c r="C134" s="238" t="s">
        <v>158</v>
      </c>
      <c r="D134" s="240">
        <v>20400</v>
      </c>
      <c r="G134" s="237"/>
    </row>
    <row r="135" spans="1:7" ht="55.2">
      <c r="A135" s="245" t="s">
        <v>471</v>
      </c>
      <c r="B135" s="239" t="s">
        <v>472</v>
      </c>
      <c r="C135" s="238" t="s">
        <v>158</v>
      </c>
      <c r="D135" s="240">
        <v>26500</v>
      </c>
      <c r="G135" s="237"/>
    </row>
    <row r="136" spans="1:7" ht="27.6">
      <c r="A136" s="245" t="s">
        <v>473</v>
      </c>
      <c r="B136" s="239" t="s">
        <v>474</v>
      </c>
      <c r="C136" s="238"/>
      <c r="D136" s="240"/>
      <c r="G136" s="237"/>
    </row>
    <row r="137" spans="1:7" ht="27.6">
      <c r="A137" s="245" t="s">
        <v>208</v>
      </c>
      <c r="B137" s="239" t="s">
        <v>475</v>
      </c>
      <c r="C137" s="238" t="s">
        <v>158</v>
      </c>
      <c r="D137" s="240">
        <v>3460</v>
      </c>
      <c r="G137" s="237"/>
    </row>
    <row r="138" spans="1:7" ht="27.6">
      <c r="A138" s="245" t="s">
        <v>476</v>
      </c>
      <c r="B138" s="239" t="s">
        <v>477</v>
      </c>
      <c r="C138" s="238" t="s">
        <v>158</v>
      </c>
      <c r="D138" s="240">
        <v>30600</v>
      </c>
      <c r="G138" s="237"/>
    </row>
    <row r="139" spans="1:7" ht="27.6">
      <c r="A139" s="245" t="s">
        <v>478</v>
      </c>
      <c r="B139" s="239" t="s">
        <v>479</v>
      </c>
      <c r="C139" s="238" t="s">
        <v>158</v>
      </c>
      <c r="D139" s="240">
        <v>4700</v>
      </c>
      <c r="G139" s="237"/>
    </row>
    <row r="140" spans="1:7">
      <c r="A140" s="245" t="s">
        <v>480</v>
      </c>
      <c r="B140" s="239" t="s">
        <v>481</v>
      </c>
      <c r="C140" s="238" t="s">
        <v>158</v>
      </c>
      <c r="D140" s="240">
        <v>2980</v>
      </c>
      <c r="G140" s="237"/>
    </row>
    <row r="141" spans="1:7" ht="27.6">
      <c r="A141" s="245" t="s">
        <v>482</v>
      </c>
      <c r="B141" s="239" t="s">
        <v>483</v>
      </c>
      <c r="C141" s="238" t="s">
        <v>158</v>
      </c>
      <c r="D141" s="240">
        <v>2040</v>
      </c>
      <c r="G141" s="237"/>
    </row>
    <row r="142" spans="1:7" ht="27.6">
      <c r="A142" s="245" t="s">
        <v>484</v>
      </c>
      <c r="B142" s="239" t="s">
        <v>485</v>
      </c>
      <c r="C142" s="238" t="s">
        <v>158</v>
      </c>
      <c r="D142" s="240">
        <v>31000</v>
      </c>
      <c r="G142" s="237"/>
    </row>
    <row r="143" spans="1:7" ht="27.6">
      <c r="A143" s="245" t="s">
        <v>486</v>
      </c>
      <c r="B143" s="239" t="s">
        <v>487</v>
      </c>
      <c r="C143" s="238" t="s">
        <v>158</v>
      </c>
      <c r="D143" s="240">
        <v>34600</v>
      </c>
      <c r="G143" s="237"/>
    </row>
    <row r="144" spans="1:7">
      <c r="A144" s="245" t="s">
        <v>488</v>
      </c>
      <c r="B144" s="239" t="s">
        <v>489</v>
      </c>
      <c r="C144" s="238" t="s">
        <v>158</v>
      </c>
      <c r="D144" s="240">
        <v>25700</v>
      </c>
      <c r="G144" s="237"/>
    </row>
    <row r="145" spans="1:7" ht="27.6">
      <c r="A145" s="245" t="s">
        <v>490</v>
      </c>
      <c r="B145" s="239" t="s">
        <v>491</v>
      </c>
      <c r="C145" s="238" t="s">
        <v>143</v>
      </c>
      <c r="D145" s="240">
        <v>198400</v>
      </c>
      <c r="G145" s="237"/>
    </row>
    <row r="146" spans="1:7" ht="27.6">
      <c r="A146" s="245" t="s">
        <v>492</v>
      </c>
      <c r="B146" s="239" t="s">
        <v>493</v>
      </c>
      <c r="C146" s="238" t="s">
        <v>143</v>
      </c>
      <c r="D146" s="240">
        <v>217300</v>
      </c>
      <c r="G146" s="237"/>
    </row>
    <row r="147" spans="1:7" ht="27.6">
      <c r="A147" s="245" t="s">
        <v>494</v>
      </c>
      <c r="B147" s="239" t="s">
        <v>495</v>
      </c>
      <c r="C147" s="238" t="s">
        <v>496</v>
      </c>
      <c r="D147" s="241">
        <v>-0.5</v>
      </c>
      <c r="G147" s="237"/>
    </row>
    <row r="148" spans="1:7">
      <c r="A148" s="245" t="s">
        <v>497</v>
      </c>
      <c r="B148" s="239" t="s">
        <v>498</v>
      </c>
      <c r="C148" s="238" t="s">
        <v>158</v>
      </c>
      <c r="D148" s="240">
        <v>254500</v>
      </c>
      <c r="G148" s="237"/>
    </row>
    <row r="149" spans="1:7">
      <c r="A149" s="245" t="s">
        <v>178</v>
      </c>
      <c r="B149" s="239" t="s">
        <v>179</v>
      </c>
      <c r="C149" s="238" t="s">
        <v>158</v>
      </c>
      <c r="D149" s="240">
        <v>492000</v>
      </c>
      <c r="G149" s="237"/>
    </row>
    <row r="150" spans="1:7">
      <c r="A150" s="245" t="s">
        <v>499</v>
      </c>
      <c r="B150" s="239" t="s">
        <v>500</v>
      </c>
      <c r="C150" s="238" t="s">
        <v>158</v>
      </c>
      <c r="D150" s="240">
        <v>232500</v>
      </c>
      <c r="G150" s="237"/>
    </row>
    <row r="151" spans="1:7">
      <c r="A151" s="245" t="s">
        <v>501</v>
      </c>
      <c r="B151" s="239" t="s">
        <v>502</v>
      </c>
      <c r="C151" s="238" t="s">
        <v>158</v>
      </c>
      <c r="D151" s="240">
        <v>402000</v>
      </c>
      <c r="G151" s="237"/>
    </row>
    <row r="152" spans="1:7">
      <c r="A152" s="245" t="s">
        <v>503</v>
      </c>
      <c r="B152" s="239" t="s">
        <v>504</v>
      </c>
      <c r="C152" s="238" t="s">
        <v>158</v>
      </c>
      <c r="D152" s="240">
        <v>786500</v>
      </c>
      <c r="G152" s="237"/>
    </row>
    <row r="153" spans="1:7">
      <c r="A153" s="245" t="s">
        <v>505</v>
      </c>
      <c r="B153" s="239" t="s">
        <v>506</v>
      </c>
      <c r="C153" s="238" t="s">
        <v>158</v>
      </c>
      <c r="D153" s="240">
        <v>978500</v>
      </c>
      <c r="G153" s="237"/>
    </row>
    <row r="154" spans="1:7">
      <c r="A154" s="245" t="s">
        <v>507</v>
      </c>
      <c r="B154" s="239" t="s">
        <v>508</v>
      </c>
      <c r="C154" s="238" t="s">
        <v>158</v>
      </c>
      <c r="D154" s="240">
        <v>917000</v>
      </c>
      <c r="G154" s="237"/>
    </row>
    <row r="155" spans="1:7">
      <c r="A155" s="245" t="s">
        <v>509</v>
      </c>
      <c r="B155" s="239" t="s">
        <v>510</v>
      </c>
      <c r="C155" s="238" t="s">
        <v>158</v>
      </c>
      <c r="D155" s="240">
        <v>954500</v>
      </c>
      <c r="G155" s="237"/>
    </row>
    <row r="156" spans="1:7">
      <c r="A156" s="245" t="s">
        <v>147</v>
      </c>
      <c r="B156" s="239" t="s">
        <v>148</v>
      </c>
      <c r="C156" s="238" t="s">
        <v>158</v>
      </c>
      <c r="D156" s="240">
        <v>950000</v>
      </c>
      <c r="G156" s="237"/>
    </row>
    <row r="157" spans="1:7" ht="27.6">
      <c r="A157" s="245" t="s">
        <v>511</v>
      </c>
      <c r="B157" s="239" t="s">
        <v>512</v>
      </c>
      <c r="C157" s="238" t="s">
        <v>158</v>
      </c>
      <c r="D157" s="240">
        <v>1096000</v>
      </c>
      <c r="G157" s="237"/>
    </row>
    <row r="158" spans="1:7" ht="27.6">
      <c r="A158" s="245" t="s">
        <v>513</v>
      </c>
      <c r="B158" s="239" t="s">
        <v>514</v>
      </c>
      <c r="C158" s="238" t="s">
        <v>158</v>
      </c>
      <c r="D158" s="240">
        <v>1133000</v>
      </c>
      <c r="G158" s="237"/>
    </row>
    <row r="159" spans="1:7" ht="27.6">
      <c r="A159" s="245" t="s">
        <v>515</v>
      </c>
      <c r="B159" s="239" t="s">
        <v>516</v>
      </c>
      <c r="C159" s="238" t="s">
        <v>158</v>
      </c>
      <c r="D159" s="240">
        <v>1056000</v>
      </c>
      <c r="G159" s="237"/>
    </row>
    <row r="160" spans="1:7">
      <c r="A160" s="245" t="s">
        <v>517</v>
      </c>
      <c r="B160" s="239" t="s">
        <v>518</v>
      </c>
      <c r="C160" s="238" t="s">
        <v>158</v>
      </c>
      <c r="D160" s="240">
        <v>487500</v>
      </c>
      <c r="G160" s="237"/>
    </row>
    <row r="161" spans="1:7">
      <c r="A161" s="245" t="s">
        <v>519</v>
      </c>
      <c r="B161" s="239" t="s">
        <v>520</v>
      </c>
      <c r="C161" s="238" t="s">
        <v>158</v>
      </c>
      <c r="D161" s="240">
        <v>689000</v>
      </c>
      <c r="G161" s="237"/>
    </row>
    <row r="162" spans="1:7" ht="27.6">
      <c r="A162" s="245" t="s">
        <v>521</v>
      </c>
      <c r="B162" s="239" t="s">
        <v>522</v>
      </c>
      <c r="C162" s="238" t="s">
        <v>15</v>
      </c>
      <c r="D162" s="240">
        <v>299500</v>
      </c>
      <c r="G162" s="237"/>
    </row>
    <row r="163" spans="1:7" ht="27.6">
      <c r="A163" s="245" t="s">
        <v>523</v>
      </c>
      <c r="B163" s="239" t="s">
        <v>524</v>
      </c>
      <c r="C163" s="238" t="s">
        <v>15</v>
      </c>
      <c r="D163" s="240">
        <v>109500</v>
      </c>
      <c r="G163" s="237"/>
    </row>
    <row r="164" spans="1:7" ht="27.6">
      <c r="A164" s="245" t="s">
        <v>525</v>
      </c>
      <c r="B164" s="239" t="s">
        <v>526</v>
      </c>
      <c r="C164" s="238" t="s">
        <v>15</v>
      </c>
      <c r="D164" s="240">
        <v>132500</v>
      </c>
      <c r="G164" s="237"/>
    </row>
    <row r="165" spans="1:7">
      <c r="A165" s="245" t="s">
        <v>527</v>
      </c>
      <c r="B165" s="239" t="s">
        <v>528</v>
      </c>
      <c r="C165" s="238" t="s">
        <v>15</v>
      </c>
      <c r="D165" s="240">
        <v>153500</v>
      </c>
      <c r="G165" s="237"/>
    </row>
    <row r="166" spans="1:7" ht="27.6">
      <c r="A166" s="245" t="s">
        <v>529</v>
      </c>
      <c r="B166" s="239" t="s">
        <v>530</v>
      </c>
      <c r="C166" s="238" t="s">
        <v>15</v>
      </c>
      <c r="D166" s="240">
        <v>207500</v>
      </c>
      <c r="G166" s="237"/>
    </row>
    <row r="167" spans="1:7" ht="27.6">
      <c r="A167" s="245" t="s">
        <v>531</v>
      </c>
      <c r="B167" s="239" t="s">
        <v>532</v>
      </c>
      <c r="C167" s="238" t="s">
        <v>15</v>
      </c>
      <c r="D167" s="240">
        <v>248000</v>
      </c>
      <c r="G167" s="237"/>
    </row>
    <row r="168" spans="1:7" ht="41.4">
      <c r="A168" s="245" t="s">
        <v>533</v>
      </c>
      <c r="B168" s="239" t="s">
        <v>534</v>
      </c>
      <c r="C168" s="238" t="s">
        <v>158</v>
      </c>
      <c r="D168" s="240">
        <v>95500</v>
      </c>
      <c r="G168" s="237"/>
    </row>
    <row r="169" spans="1:7" ht="27.6">
      <c r="A169" s="245" t="s">
        <v>535</v>
      </c>
      <c r="B169" s="239" t="s">
        <v>536</v>
      </c>
      <c r="C169" s="238" t="s">
        <v>158</v>
      </c>
      <c r="D169" s="240">
        <v>138000</v>
      </c>
      <c r="G169" s="237"/>
    </row>
    <row r="170" spans="1:7">
      <c r="A170" s="245" t="s">
        <v>537</v>
      </c>
      <c r="B170" s="239" t="s">
        <v>538</v>
      </c>
      <c r="C170" s="238" t="s">
        <v>15</v>
      </c>
      <c r="D170" s="240">
        <v>109000</v>
      </c>
      <c r="G170" s="237"/>
    </row>
    <row r="171" spans="1:7" ht="27.6">
      <c r="A171" s="245" t="s">
        <v>539</v>
      </c>
      <c r="B171" s="239" t="s">
        <v>540</v>
      </c>
      <c r="C171" s="238" t="s">
        <v>15</v>
      </c>
      <c r="D171" s="240">
        <v>466000</v>
      </c>
      <c r="G171" s="237"/>
    </row>
    <row r="172" spans="1:7" ht="27.6">
      <c r="A172" s="245" t="s">
        <v>541</v>
      </c>
      <c r="B172" s="239" t="s">
        <v>542</v>
      </c>
      <c r="C172" s="238" t="s">
        <v>15</v>
      </c>
      <c r="D172" s="240">
        <v>246500</v>
      </c>
      <c r="G172" s="237"/>
    </row>
    <row r="173" spans="1:7">
      <c r="A173" s="245" t="s">
        <v>543</v>
      </c>
      <c r="B173" s="239" t="s">
        <v>544</v>
      </c>
      <c r="C173" s="238" t="s">
        <v>158</v>
      </c>
      <c r="D173" s="240">
        <v>312500</v>
      </c>
      <c r="G173" s="237"/>
    </row>
    <row r="174" spans="1:7" ht="41.4">
      <c r="A174" s="245" t="s">
        <v>545</v>
      </c>
      <c r="B174" s="239" t="s">
        <v>546</v>
      </c>
      <c r="C174" s="238" t="s">
        <v>158</v>
      </c>
      <c r="D174" s="240">
        <v>371500</v>
      </c>
      <c r="G174" s="237"/>
    </row>
    <row r="175" spans="1:7" ht="41.4">
      <c r="A175" s="245" t="s">
        <v>547</v>
      </c>
      <c r="B175" s="239" t="s">
        <v>548</v>
      </c>
      <c r="C175" s="238" t="s">
        <v>158</v>
      </c>
      <c r="D175" s="240">
        <v>283500</v>
      </c>
      <c r="G175" s="237"/>
    </row>
    <row r="176" spans="1:7" ht="41.4">
      <c r="A176" s="245" t="s">
        <v>549</v>
      </c>
      <c r="B176" s="239" t="s">
        <v>550</v>
      </c>
      <c r="C176" s="238" t="s">
        <v>158</v>
      </c>
      <c r="D176" s="240">
        <v>297500</v>
      </c>
      <c r="G176" s="237"/>
    </row>
    <row r="177" spans="1:7" ht="27.6">
      <c r="A177" s="245" t="s">
        <v>551</v>
      </c>
      <c r="B177" s="239" t="s">
        <v>552</v>
      </c>
      <c r="C177" s="238" t="s">
        <v>158</v>
      </c>
      <c r="D177" s="240">
        <v>299000</v>
      </c>
      <c r="G177" s="237"/>
    </row>
    <row r="178" spans="1:7" ht="41.4">
      <c r="A178" s="245" t="s">
        <v>553</v>
      </c>
      <c r="B178" s="239" t="s">
        <v>554</v>
      </c>
      <c r="C178" s="238" t="s">
        <v>158</v>
      </c>
      <c r="D178" s="240">
        <v>283500</v>
      </c>
      <c r="G178" s="237"/>
    </row>
    <row r="179" spans="1:7" ht="27.6">
      <c r="A179" s="245" t="s">
        <v>555</v>
      </c>
      <c r="B179" s="239" t="s">
        <v>556</v>
      </c>
      <c r="C179" s="238" t="s">
        <v>15</v>
      </c>
      <c r="D179" s="240">
        <v>208000</v>
      </c>
      <c r="G179" s="237"/>
    </row>
    <row r="180" spans="1:7" ht="27.6">
      <c r="A180" s="245" t="s">
        <v>557</v>
      </c>
      <c r="B180" s="239" t="s">
        <v>558</v>
      </c>
      <c r="C180" s="238" t="s">
        <v>15</v>
      </c>
      <c r="D180" s="240">
        <v>313000</v>
      </c>
      <c r="G180" s="237"/>
    </row>
    <row r="181" spans="1:7" ht="27.6">
      <c r="A181" s="245" t="s">
        <v>559</v>
      </c>
      <c r="B181" s="239" t="s">
        <v>560</v>
      </c>
      <c r="C181" s="238" t="s">
        <v>15</v>
      </c>
      <c r="D181" s="240">
        <v>339500</v>
      </c>
      <c r="G181" s="237"/>
    </row>
    <row r="182" spans="1:7" ht="27.6">
      <c r="A182" s="245" t="s">
        <v>561</v>
      </c>
      <c r="B182" s="239" t="s">
        <v>562</v>
      </c>
      <c r="C182" s="238" t="s">
        <v>15</v>
      </c>
      <c r="D182" s="240">
        <v>357500</v>
      </c>
      <c r="G182" s="237"/>
    </row>
    <row r="183" spans="1:7" ht="27.6">
      <c r="A183" s="245" t="s">
        <v>563</v>
      </c>
      <c r="B183" s="239" t="s">
        <v>564</v>
      </c>
      <c r="C183" s="238" t="s">
        <v>15</v>
      </c>
      <c r="D183" s="240">
        <v>381500</v>
      </c>
      <c r="G183" s="237"/>
    </row>
    <row r="184" spans="1:7" ht="27.6">
      <c r="A184" s="245" t="s">
        <v>565</v>
      </c>
      <c r="B184" s="239" t="s">
        <v>566</v>
      </c>
      <c r="C184" s="238" t="s">
        <v>15</v>
      </c>
      <c r="D184" s="240">
        <v>320000</v>
      </c>
      <c r="G184" s="237"/>
    </row>
    <row r="185" spans="1:7" ht="41.4">
      <c r="A185" s="245" t="s">
        <v>567</v>
      </c>
      <c r="B185" s="239" t="s">
        <v>568</v>
      </c>
      <c r="C185" s="238" t="s">
        <v>15</v>
      </c>
      <c r="D185" s="240">
        <v>341500</v>
      </c>
      <c r="G185" s="237"/>
    </row>
    <row r="186" spans="1:7" ht="41.4">
      <c r="A186" s="245" t="s">
        <v>569</v>
      </c>
      <c r="B186" s="239" t="s">
        <v>570</v>
      </c>
      <c r="C186" s="238" t="s">
        <v>15</v>
      </c>
      <c r="D186" s="240">
        <v>372000</v>
      </c>
      <c r="G186" s="237"/>
    </row>
    <row r="187" spans="1:7" ht="41.4">
      <c r="A187" s="245" t="s">
        <v>571</v>
      </c>
      <c r="B187" s="239" t="s">
        <v>572</v>
      </c>
      <c r="C187" s="238" t="s">
        <v>15</v>
      </c>
      <c r="D187" s="240">
        <v>384000</v>
      </c>
      <c r="G187" s="237"/>
    </row>
    <row r="188" spans="1:7" ht="27.6">
      <c r="A188" s="245" t="s">
        <v>573</v>
      </c>
      <c r="B188" s="239" t="s">
        <v>574</v>
      </c>
      <c r="C188" s="238" t="s">
        <v>15</v>
      </c>
      <c r="D188" s="240">
        <v>314000</v>
      </c>
      <c r="G188" s="237"/>
    </row>
    <row r="189" spans="1:7" ht="27.6">
      <c r="A189" s="245" t="s">
        <v>575</v>
      </c>
      <c r="B189" s="239" t="s">
        <v>576</v>
      </c>
      <c r="C189" s="238" t="s">
        <v>15</v>
      </c>
      <c r="D189" s="240">
        <v>383500</v>
      </c>
      <c r="G189" s="237"/>
    </row>
    <row r="190" spans="1:7" ht="27.6">
      <c r="A190" s="245" t="s">
        <v>577</v>
      </c>
      <c r="B190" s="239" t="s">
        <v>578</v>
      </c>
      <c r="C190" s="238" t="s">
        <v>15</v>
      </c>
      <c r="D190" s="240">
        <v>441500</v>
      </c>
      <c r="G190" s="237"/>
    </row>
    <row r="191" spans="1:7" ht="27.6">
      <c r="A191" s="245" t="s">
        <v>579</v>
      </c>
      <c r="B191" s="239" t="s">
        <v>580</v>
      </c>
      <c r="C191" s="238" t="s">
        <v>15</v>
      </c>
      <c r="D191" s="240">
        <v>536500</v>
      </c>
      <c r="G191" s="237"/>
    </row>
    <row r="192" spans="1:7" ht="41.4">
      <c r="A192" s="245" t="s">
        <v>581</v>
      </c>
      <c r="B192" s="239" t="s">
        <v>582</v>
      </c>
      <c r="C192" s="238" t="s">
        <v>15</v>
      </c>
      <c r="D192" s="240">
        <v>191000</v>
      </c>
      <c r="G192" s="237"/>
    </row>
    <row r="193" spans="1:7" ht="27.6">
      <c r="A193" s="245" t="s">
        <v>583</v>
      </c>
      <c r="B193" s="239" t="s">
        <v>584</v>
      </c>
      <c r="C193" s="238" t="s">
        <v>15</v>
      </c>
      <c r="D193" s="240">
        <v>247000</v>
      </c>
      <c r="G193" s="237"/>
    </row>
    <row r="194" spans="1:7" ht="27.6">
      <c r="A194" s="245" t="s">
        <v>164</v>
      </c>
      <c r="B194" s="239" t="s">
        <v>585</v>
      </c>
      <c r="C194" s="238" t="s">
        <v>15</v>
      </c>
      <c r="D194" s="240">
        <v>404500</v>
      </c>
      <c r="G194" s="237"/>
    </row>
    <row r="195" spans="1:7" ht="27.6">
      <c r="A195" s="245" t="s">
        <v>586</v>
      </c>
      <c r="B195" s="239" t="s">
        <v>587</v>
      </c>
      <c r="C195" s="238" t="s">
        <v>15</v>
      </c>
      <c r="D195" s="240">
        <v>473500</v>
      </c>
      <c r="G195" s="237"/>
    </row>
    <row r="196" spans="1:7" ht="27.6">
      <c r="A196" s="245" t="s">
        <v>588</v>
      </c>
      <c r="B196" s="239" t="s">
        <v>589</v>
      </c>
      <c r="C196" s="238" t="s">
        <v>15</v>
      </c>
      <c r="D196" s="240">
        <v>582000</v>
      </c>
      <c r="G196" s="237"/>
    </row>
    <row r="197" spans="1:7" ht="27.6">
      <c r="A197" s="245" t="s">
        <v>590</v>
      </c>
      <c r="B197" s="239" t="s">
        <v>591</v>
      </c>
      <c r="C197" s="238" t="s">
        <v>15</v>
      </c>
      <c r="D197" s="240">
        <v>708500</v>
      </c>
      <c r="G197" s="237"/>
    </row>
    <row r="198" spans="1:7" ht="27.6">
      <c r="A198" s="245" t="s">
        <v>592</v>
      </c>
      <c r="B198" s="239" t="s">
        <v>593</v>
      </c>
      <c r="C198" s="238" t="s">
        <v>15</v>
      </c>
      <c r="D198" s="240">
        <v>377500</v>
      </c>
      <c r="G198" s="237"/>
    </row>
    <row r="199" spans="1:7" ht="41.4">
      <c r="A199" s="245" t="s">
        <v>594</v>
      </c>
      <c r="B199" s="239" t="s">
        <v>595</v>
      </c>
      <c r="C199" s="238" t="s">
        <v>15</v>
      </c>
      <c r="D199" s="240">
        <v>401000</v>
      </c>
      <c r="G199" s="237"/>
    </row>
    <row r="200" spans="1:7" ht="27.6">
      <c r="A200" s="245" t="s">
        <v>596</v>
      </c>
      <c r="B200" s="239" t="s">
        <v>597</v>
      </c>
      <c r="C200" s="238" t="s">
        <v>15</v>
      </c>
      <c r="D200" s="240">
        <v>80400</v>
      </c>
      <c r="G200" s="237"/>
    </row>
    <row r="201" spans="1:7" ht="27.6">
      <c r="A201" s="245" t="s">
        <v>598</v>
      </c>
      <c r="B201" s="239" t="s">
        <v>599</v>
      </c>
      <c r="C201" s="238" t="s">
        <v>15</v>
      </c>
      <c r="D201" s="240">
        <v>5470</v>
      </c>
      <c r="G201" s="237"/>
    </row>
    <row r="202" spans="1:7" ht="27.6">
      <c r="A202" s="245" t="s">
        <v>600</v>
      </c>
      <c r="B202" s="239" t="s">
        <v>601</v>
      </c>
      <c r="C202" s="238" t="s">
        <v>15</v>
      </c>
      <c r="D202" s="240">
        <v>96900</v>
      </c>
      <c r="G202" s="237"/>
    </row>
    <row r="203" spans="1:7" ht="27.6">
      <c r="A203" s="245" t="s">
        <v>602</v>
      </c>
      <c r="B203" s="239" t="s">
        <v>603</v>
      </c>
      <c r="C203" s="238" t="s">
        <v>15</v>
      </c>
      <c r="D203" s="240">
        <v>197500</v>
      </c>
      <c r="G203" s="237"/>
    </row>
    <row r="204" spans="1:7" ht="27.6">
      <c r="A204" s="245" t="s">
        <v>604</v>
      </c>
      <c r="B204" s="239" t="s">
        <v>605</v>
      </c>
      <c r="C204" s="238" t="s">
        <v>15</v>
      </c>
      <c r="D204" s="240">
        <v>17600</v>
      </c>
      <c r="G204" s="237"/>
    </row>
    <row r="205" spans="1:7" ht="27.6">
      <c r="A205" s="245" t="s">
        <v>606</v>
      </c>
      <c r="B205" s="239" t="s">
        <v>607</v>
      </c>
      <c r="C205" s="238" t="s">
        <v>15</v>
      </c>
      <c r="D205" s="240">
        <v>132500</v>
      </c>
      <c r="G205" s="237"/>
    </row>
    <row r="206" spans="1:7" ht="41.4">
      <c r="A206" s="245" t="s">
        <v>608</v>
      </c>
      <c r="B206" s="239" t="s">
        <v>609</v>
      </c>
      <c r="C206" s="238" t="s">
        <v>15</v>
      </c>
      <c r="D206" s="240">
        <v>60800</v>
      </c>
      <c r="G206" s="237"/>
    </row>
    <row r="207" spans="1:7" ht="27.6">
      <c r="A207" s="245" t="s">
        <v>610</v>
      </c>
      <c r="B207" s="239" t="s">
        <v>611</v>
      </c>
      <c r="C207" s="238" t="s">
        <v>15</v>
      </c>
      <c r="D207" s="240">
        <v>67300</v>
      </c>
      <c r="G207" s="237"/>
    </row>
    <row r="208" spans="1:7" ht="41.4">
      <c r="A208" s="245" t="s">
        <v>612</v>
      </c>
      <c r="B208" s="239" t="s">
        <v>613</v>
      </c>
      <c r="C208" s="238" t="s">
        <v>15</v>
      </c>
      <c r="D208" s="240">
        <v>80000</v>
      </c>
      <c r="G208" s="237"/>
    </row>
    <row r="209" spans="1:7" ht="41.4">
      <c r="A209" s="245" t="s">
        <v>614</v>
      </c>
      <c r="B209" s="239" t="s">
        <v>615</v>
      </c>
      <c r="C209" s="238" t="s">
        <v>15</v>
      </c>
      <c r="D209" s="240">
        <v>57000</v>
      </c>
      <c r="G209" s="237"/>
    </row>
    <row r="210" spans="1:7" ht="27.6">
      <c r="A210" s="245" t="s">
        <v>616</v>
      </c>
      <c r="B210" s="239" t="s">
        <v>617</v>
      </c>
      <c r="C210" s="238" t="s">
        <v>618</v>
      </c>
      <c r="D210" s="240">
        <v>23300</v>
      </c>
      <c r="G210" s="237"/>
    </row>
    <row r="211" spans="1:7" ht="27.6">
      <c r="A211" s="245" t="s">
        <v>619</v>
      </c>
      <c r="B211" s="239" t="s">
        <v>620</v>
      </c>
      <c r="C211" s="238" t="s">
        <v>618</v>
      </c>
      <c r="D211" s="240">
        <v>13600</v>
      </c>
      <c r="G211" s="237"/>
    </row>
    <row r="212" spans="1:7" ht="41.4">
      <c r="A212" s="245" t="s">
        <v>621</v>
      </c>
      <c r="B212" s="239" t="s">
        <v>622</v>
      </c>
      <c r="C212" s="238" t="s">
        <v>15</v>
      </c>
      <c r="D212" s="240">
        <v>278500</v>
      </c>
      <c r="G212" s="237"/>
    </row>
    <row r="213" spans="1:7" ht="27.6">
      <c r="A213" s="245" t="s">
        <v>623</v>
      </c>
      <c r="B213" s="239" t="s">
        <v>624</v>
      </c>
      <c r="C213" s="238" t="s">
        <v>15</v>
      </c>
      <c r="D213" s="240">
        <v>280000</v>
      </c>
      <c r="G213" s="237"/>
    </row>
    <row r="214" spans="1:7" ht="27.6">
      <c r="A214" s="245" t="s">
        <v>625</v>
      </c>
      <c r="B214" s="239" t="s">
        <v>626</v>
      </c>
      <c r="C214" s="238" t="s">
        <v>15</v>
      </c>
      <c r="D214" s="240">
        <v>234000</v>
      </c>
      <c r="G214" s="237"/>
    </row>
    <row r="215" spans="1:7">
      <c r="A215" s="245" t="s">
        <v>5</v>
      </c>
      <c r="B215" s="239" t="s">
        <v>627</v>
      </c>
      <c r="C215" s="238" t="s">
        <v>15</v>
      </c>
      <c r="D215" s="240">
        <v>178500</v>
      </c>
      <c r="G215" s="237"/>
    </row>
    <row r="216" spans="1:7">
      <c r="A216" s="245" t="s">
        <v>628</v>
      </c>
      <c r="B216" s="239" t="s">
        <v>629</v>
      </c>
      <c r="C216" s="238" t="s">
        <v>15</v>
      </c>
      <c r="D216" s="240">
        <v>122500</v>
      </c>
      <c r="G216" s="237"/>
    </row>
    <row r="217" spans="1:7" ht="27.6">
      <c r="A217" s="245" t="s">
        <v>630</v>
      </c>
      <c r="B217" s="239" t="s">
        <v>631</v>
      </c>
      <c r="C217" s="238" t="s">
        <v>15</v>
      </c>
      <c r="D217" s="240">
        <v>246000</v>
      </c>
      <c r="G217" s="237"/>
    </row>
    <row r="218" spans="1:7" ht="27.6">
      <c r="A218" s="245" t="s">
        <v>632</v>
      </c>
      <c r="B218" s="239" t="s">
        <v>633</v>
      </c>
      <c r="C218" s="238" t="s">
        <v>15</v>
      </c>
      <c r="D218" s="240">
        <v>277000</v>
      </c>
      <c r="G218" s="237"/>
    </row>
    <row r="219" spans="1:7" ht="27.6">
      <c r="A219" s="245" t="s">
        <v>634</v>
      </c>
      <c r="B219" s="239" t="s">
        <v>635</v>
      </c>
      <c r="C219" s="238" t="s">
        <v>15</v>
      </c>
      <c r="D219" s="240">
        <v>309500</v>
      </c>
      <c r="G219" s="237"/>
    </row>
    <row r="220" spans="1:7" ht="27.6">
      <c r="A220" s="245" t="s">
        <v>636</v>
      </c>
      <c r="B220" s="239" t="s">
        <v>637</v>
      </c>
      <c r="C220" s="238" t="s">
        <v>15</v>
      </c>
      <c r="D220" s="240">
        <v>345500</v>
      </c>
      <c r="G220" s="237"/>
    </row>
    <row r="221" spans="1:7" ht="27.6">
      <c r="A221" s="245" t="s">
        <v>128</v>
      </c>
      <c r="B221" s="239" t="s">
        <v>638</v>
      </c>
      <c r="C221" s="238" t="s">
        <v>15</v>
      </c>
      <c r="D221" s="240">
        <v>245000</v>
      </c>
      <c r="G221" s="237"/>
    </row>
    <row r="222" spans="1:7" ht="41.4">
      <c r="A222" s="245" t="s">
        <v>639</v>
      </c>
      <c r="B222" s="239" t="s">
        <v>640</v>
      </c>
      <c r="C222" s="238" t="s">
        <v>15</v>
      </c>
      <c r="D222" s="240">
        <v>271000</v>
      </c>
      <c r="G222" s="237"/>
    </row>
    <row r="223" spans="1:7" ht="41.4">
      <c r="A223" s="245" t="s">
        <v>205</v>
      </c>
      <c r="B223" s="239" t="s">
        <v>641</v>
      </c>
      <c r="C223" s="238" t="s">
        <v>15</v>
      </c>
      <c r="D223" s="240">
        <v>300000</v>
      </c>
      <c r="G223" s="237"/>
    </row>
    <row r="224" spans="1:7" ht="41.4">
      <c r="A224" s="245" t="s">
        <v>642</v>
      </c>
      <c r="B224" s="239" t="s">
        <v>643</v>
      </c>
      <c r="C224" s="238" t="s">
        <v>15</v>
      </c>
      <c r="D224" s="240">
        <v>335500</v>
      </c>
      <c r="G224" s="237"/>
    </row>
    <row r="225" spans="1:7" ht="27.6">
      <c r="A225" s="245" t="s">
        <v>644</v>
      </c>
      <c r="B225" s="239" t="s">
        <v>645</v>
      </c>
      <c r="C225" s="238" t="s">
        <v>15</v>
      </c>
      <c r="D225" s="240">
        <v>256000</v>
      </c>
      <c r="G225" s="237"/>
    </row>
    <row r="226" spans="1:7" ht="27.6">
      <c r="A226" s="245" t="s">
        <v>646</v>
      </c>
      <c r="B226" s="239" t="s">
        <v>647</v>
      </c>
      <c r="C226" s="238" t="s">
        <v>15</v>
      </c>
      <c r="D226" s="240">
        <v>286500</v>
      </c>
      <c r="G226" s="237"/>
    </row>
    <row r="227" spans="1:7" ht="27.6">
      <c r="A227" s="245" t="s">
        <v>648</v>
      </c>
      <c r="B227" s="239" t="s">
        <v>649</v>
      </c>
      <c r="C227" s="238" t="s">
        <v>15</v>
      </c>
      <c r="D227" s="240">
        <v>352000</v>
      </c>
      <c r="G227" s="237"/>
    </row>
    <row r="228" spans="1:7" ht="27.6">
      <c r="A228" s="245" t="s">
        <v>650</v>
      </c>
      <c r="B228" s="239" t="s">
        <v>651</v>
      </c>
      <c r="C228" s="238" t="s">
        <v>15</v>
      </c>
      <c r="D228" s="240">
        <v>447500</v>
      </c>
      <c r="G228" s="237"/>
    </row>
    <row r="229" spans="1:7" ht="27.6">
      <c r="A229" s="245" t="s">
        <v>652</v>
      </c>
      <c r="B229" s="239" t="s">
        <v>653</v>
      </c>
      <c r="C229" s="238" t="s">
        <v>15</v>
      </c>
      <c r="D229" s="240">
        <v>209000</v>
      </c>
      <c r="G229" s="237"/>
    </row>
    <row r="230" spans="1:7" ht="27.6">
      <c r="A230" s="245" t="s">
        <v>165</v>
      </c>
      <c r="B230" s="239" t="s">
        <v>654</v>
      </c>
      <c r="C230" s="238" t="s">
        <v>15</v>
      </c>
      <c r="D230" s="240">
        <v>342000</v>
      </c>
      <c r="G230" s="237"/>
    </row>
    <row r="231" spans="1:7" ht="27.6">
      <c r="A231" s="245" t="s">
        <v>655</v>
      </c>
      <c r="B231" s="239" t="s">
        <v>656</v>
      </c>
      <c r="C231" s="238" t="s">
        <v>15</v>
      </c>
      <c r="D231" s="240">
        <v>365000</v>
      </c>
      <c r="G231" s="237"/>
    </row>
    <row r="232" spans="1:7" ht="27.6">
      <c r="A232" s="245" t="s">
        <v>657</v>
      </c>
      <c r="B232" s="239" t="s">
        <v>658</v>
      </c>
      <c r="C232" s="238" t="s">
        <v>15</v>
      </c>
      <c r="D232" s="240">
        <v>458000</v>
      </c>
      <c r="G232" s="237"/>
    </row>
    <row r="233" spans="1:7" ht="27.6">
      <c r="A233" s="245" t="s">
        <v>659</v>
      </c>
      <c r="B233" s="239" t="s">
        <v>660</v>
      </c>
      <c r="C233" s="238" t="s">
        <v>15</v>
      </c>
      <c r="D233" s="240">
        <v>605000</v>
      </c>
      <c r="G233" s="237"/>
    </row>
    <row r="234" spans="1:7" ht="27.6">
      <c r="A234" s="245" t="s">
        <v>661</v>
      </c>
      <c r="B234" s="239" t="s">
        <v>662</v>
      </c>
      <c r="C234" s="238" t="s">
        <v>15</v>
      </c>
      <c r="D234" s="240">
        <v>302500</v>
      </c>
      <c r="G234" s="237"/>
    </row>
    <row r="235" spans="1:7" ht="41.4">
      <c r="A235" s="245" t="s">
        <v>663</v>
      </c>
      <c r="B235" s="239" t="s">
        <v>664</v>
      </c>
      <c r="C235" s="238" t="s">
        <v>15</v>
      </c>
      <c r="D235" s="240">
        <v>328000</v>
      </c>
      <c r="G235" s="237"/>
    </row>
    <row r="236" spans="1:7" ht="27.6">
      <c r="A236" s="245" t="s">
        <v>191</v>
      </c>
      <c r="B236" s="239" t="s">
        <v>665</v>
      </c>
      <c r="C236" s="238" t="s">
        <v>15</v>
      </c>
      <c r="D236" s="240">
        <v>69000</v>
      </c>
      <c r="G236" s="237"/>
    </row>
    <row r="237" spans="1:7" ht="27.6">
      <c r="A237" s="245" t="s">
        <v>666</v>
      </c>
      <c r="B237" s="239" t="s">
        <v>667</v>
      </c>
      <c r="C237" s="238" t="s">
        <v>15</v>
      </c>
      <c r="D237" s="240">
        <v>6140</v>
      </c>
      <c r="G237" s="237"/>
    </row>
    <row r="238" spans="1:7" ht="27.6">
      <c r="A238" s="245" t="s">
        <v>668</v>
      </c>
      <c r="B238" s="239" t="s">
        <v>669</v>
      </c>
      <c r="C238" s="238" t="s">
        <v>15</v>
      </c>
      <c r="D238" s="240">
        <v>109500</v>
      </c>
      <c r="G238" s="237"/>
    </row>
    <row r="239" spans="1:7" ht="27.6">
      <c r="A239" s="245" t="s">
        <v>670</v>
      </c>
      <c r="B239" s="239" t="s">
        <v>671</v>
      </c>
      <c r="C239" s="238" t="s">
        <v>15</v>
      </c>
      <c r="D239" s="240">
        <v>172500</v>
      </c>
      <c r="G239" s="237"/>
    </row>
    <row r="240" spans="1:7" ht="27.6">
      <c r="A240" s="245" t="s">
        <v>672</v>
      </c>
      <c r="B240" s="239" t="s">
        <v>673</v>
      </c>
      <c r="C240" s="238" t="s">
        <v>15</v>
      </c>
      <c r="D240" s="240">
        <v>13900</v>
      </c>
      <c r="G240" s="237"/>
    </row>
    <row r="241" spans="1:7" ht="41.4">
      <c r="A241" s="245" t="s">
        <v>674</v>
      </c>
      <c r="B241" s="239" t="s">
        <v>675</v>
      </c>
      <c r="C241" s="238" t="s">
        <v>15</v>
      </c>
      <c r="D241" s="240">
        <v>58700</v>
      </c>
      <c r="G241" s="237"/>
    </row>
    <row r="242" spans="1:7" ht="41.4">
      <c r="A242" s="245" t="s">
        <v>676</v>
      </c>
      <c r="B242" s="239" t="s">
        <v>677</v>
      </c>
      <c r="C242" s="238" t="s">
        <v>15</v>
      </c>
      <c r="D242" s="240">
        <v>120000</v>
      </c>
      <c r="G242" s="237"/>
    </row>
    <row r="243" spans="1:7" ht="41.4">
      <c r="A243" s="245" t="s">
        <v>678</v>
      </c>
      <c r="B243" s="239" t="s">
        <v>679</v>
      </c>
      <c r="C243" s="238" t="s">
        <v>15</v>
      </c>
      <c r="D243" s="240">
        <v>52000</v>
      </c>
      <c r="G243" s="237"/>
    </row>
    <row r="244" spans="1:7" ht="27.6">
      <c r="A244" s="245" t="s">
        <v>680</v>
      </c>
      <c r="B244" s="239" t="s">
        <v>681</v>
      </c>
      <c r="C244" s="238" t="s">
        <v>618</v>
      </c>
      <c r="D244" s="240">
        <v>17700</v>
      </c>
      <c r="G244" s="237"/>
    </row>
    <row r="245" spans="1:7" ht="27.6">
      <c r="A245" s="245" t="s">
        <v>682</v>
      </c>
      <c r="B245" s="239" t="s">
        <v>683</v>
      </c>
      <c r="C245" s="238" t="s">
        <v>618</v>
      </c>
      <c r="D245" s="240">
        <v>12000</v>
      </c>
      <c r="G245" s="237"/>
    </row>
    <row r="246" spans="1:7" ht="41.4">
      <c r="A246" s="245" t="s">
        <v>684</v>
      </c>
      <c r="B246" s="239" t="s">
        <v>685</v>
      </c>
      <c r="C246" s="238" t="s">
        <v>15</v>
      </c>
      <c r="D246" s="240">
        <v>197000</v>
      </c>
      <c r="G246" s="237"/>
    </row>
    <row r="247" spans="1:7">
      <c r="A247" s="245" t="s">
        <v>686</v>
      </c>
      <c r="B247" s="239" t="s">
        <v>687</v>
      </c>
      <c r="C247" s="238" t="s">
        <v>161</v>
      </c>
      <c r="D247" s="240">
        <v>5010</v>
      </c>
      <c r="G247" s="237"/>
    </row>
    <row r="248" spans="1:7" ht="27.6">
      <c r="A248" s="245" t="s">
        <v>688</v>
      </c>
      <c r="B248" s="239" t="s">
        <v>689</v>
      </c>
      <c r="C248" s="238" t="s">
        <v>15</v>
      </c>
      <c r="D248" s="240">
        <v>204000</v>
      </c>
      <c r="G248" s="237"/>
    </row>
    <row r="249" spans="1:7" ht="41.4">
      <c r="A249" s="245" t="s">
        <v>690</v>
      </c>
      <c r="B249" s="239" t="s">
        <v>691</v>
      </c>
      <c r="C249" s="238" t="s">
        <v>15</v>
      </c>
      <c r="D249" s="240"/>
      <c r="G249" s="237"/>
    </row>
    <row r="250" spans="1:7" ht="27.6">
      <c r="A250" s="245" t="s">
        <v>692</v>
      </c>
      <c r="B250" s="239" t="s">
        <v>693</v>
      </c>
      <c r="C250" s="238" t="s">
        <v>15</v>
      </c>
      <c r="D250" s="240">
        <v>78800</v>
      </c>
      <c r="G250" s="237"/>
    </row>
    <row r="251" spans="1:7" ht="27.6">
      <c r="A251" s="245" t="s">
        <v>166</v>
      </c>
      <c r="B251" s="239" t="s">
        <v>694</v>
      </c>
      <c r="C251" s="238" t="s">
        <v>335</v>
      </c>
      <c r="D251" s="240">
        <v>23500</v>
      </c>
      <c r="G251" s="237"/>
    </row>
    <row r="252" spans="1:7" ht="27.6">
      <c r="A252" s="245" t="s">
        <v>695</v>
      </c>
      <c r="B252" s="239" t="s">
        <v>696</v>
      </c>
      <c r="C252" s="238" t="s">
        <v>335</v>
      </c>
      <c r="D252" s="240">
        <v>20700</v>
      </c>
      <c r="G252" s="237"/>
    </row>
    <row r="253" spans="1:7" ht="27.6">
      <c r="A253" s="245" t="s">
        <v>697</v>
      </c>
      <c r="B253" s="239" t="s">
        <v>698</v>
      </c>
      <c r="C253" s="238" t="s">
        <v>335</v>
      </c>
      <c r="D253" s="240">
        <v>19500</v>
      </c>
      <c r="G253" s="237"/>
    </row>
    <row r="254" spans="1:7" ht="27.6">
      <c r="A254" s="245" t="s">
        <v>137</v>
      </c>
      <c r="B254" s="239" t="s">
        <v>699</v>
      </c>
      <c r="C254" s="238" t="s">
        <v>335</v>
      </c>
      <c r="D254" s="240">
        <v>22300</v>
      </c>
      <c r="G254" s="237"/>
    </row>
    <row r="255" spans="1:7" ht="27.6">
      <c r="A255" s="245" t="s">
        <v>700</v>
      </c>
      <c r="B255" s="239" t="s">
        <v>701</v>
      </c>
      <c r="C255" s="238" t="s">
        <v>335</v>
      </c>
      <c r="D255" s="240">
        <v>16500</v>
      </c>
      <c r="G255" s="237"/>
    </row>
    <row r="256" spans="1:7" ht="27.6">
      <c r="A256" s="245" t="s">
        <v>702</v>
      </c>
      <c r="B256" s="239" t="s">
        <v>703</v>
      </c>
      <c r="C256" s="238" t="s">
        <v>335</v>
      </c>
      <c r="D256" s="240">
        <v>15200</v>
      </c>
      <c r="G256" s="237"/>
    </row>
    <row r="257" spans="1:7" ht="27.6">
      <c r="A257" s="245" t="s">
        <v>167</v>
      </c>
      <c r="B257" s="239" t="s">
        <v>704</v>
      </c>
      <c r="C257" s="238" t="s">
        <v>335</v>
      </c>
      <c r="D257" s="240">
        <v>22500</v>
      </c>
      <c r="G257" s="237"/>
    </row>
    <row r="258" spans="1:7" ht="27.6">
      <c r="A258" s="245" t="s">
        <v>110</v>
      </c>
      <c r="B258" s="239" t="s">
        <v>705</v>
      </c>
      <c r="C258" s="238" t="s">
        <v>335</v>
      </c>
      <c r="D258" s="240">
        <v>16600</v>
      </c>
      <c r="G258" s="237"/>
    </row>
    <row r="259" spans="1:7" ht="27.6">
      <c r="A259" s="245" t="s">
        <v>138</v>
      </c>
      <c r="B259" s="239" t="s">
        <v>706</v>
      </c>
      <c r="C259" s="238" t="s">
        <v>335</v>
      </c>
      <c r="D259" s="240">
        <v>15300</v>
      </c>
      <c r="G259" s="237"/>
    </row>
    <row r="260" spans="1:7" ht="27.6">
      <c r="A260" s="245" t="s">
        <v>707</v>
      </c>
      <c r="B260" s="239" t="s">
        <v>708</v>
      </c>
      <c r="C260" s="238" t="s">
        <v>335</v>
      </c>
      <c r="D260" s="240">
        <v>18900</v>
      </c>
      <c r="G260" s="237"/>
    </row>
    <row r="261" spans="1:7" ht="27.6">
      <c r="A261" s="245" t="s">
        <v>709</v>
      </c>
      <c r="B261" s="239" t="s">
        <v>710</v>
      </c>
      <c r="C261" s="238" t="s">
        <v>335</v>
      </c>
      <c r="D261" s="240">
        <v>17400</v>
      </c>
      <c r="G261" s="237"/>
    </row>
    <row r="262" spans="1:7" ht="27.6">
      <c r="A262" s="245" t="s">
        <v>168</v>
      </c>
      <c r="B262" s="239" t="s">
        <v>711</v>
      </c>
      <c r="C262" s="238" t="s">
        <v>335</v>
      </c>
      <c r="D262" s="240">
        <v>725</v>
      </c>
      <c r="G262" s="237"/>
    </row>
    <row r="263" spans="1:7" ht="41.4">
      <c r="A263" s="245" t="s">
        <v>712</v>
      </c>
      <c r="B263" s="239" t="s">
        <v>713</v>
      </c>
      <c r="C263" s="238" t="s">
        <v>335</v>
      </c>
      <c r="D263" s="240">
        <v>21000</v>
      </c>
      <c r="G263" s="237"/>
    </row>
    <row r="264" spans="1:7" ht="41.4">
      <c r="A264" s="245" t="s">
        <v>714</v>
      </c>
      <c r="B264" s="239" t="s">
        <v>715</v>
      </c>
      <c r="C264" s="238" t="s">
        <v>335</v>
      </c>
      <c r="D264" s="240">
        <v>1540</v>
      </c>
      <c r="G264" s="237"/>
    </row>
    <row r="265" spans="1:7">
      <c r="A265" s="245" t="s">
        <v>716</v>
      </c>
      <c r="B265" s="239" t="s">
        <v>717</v>
      </c>
      <c r="C265" s="238" t="s">
        <v>335</v>
      </c>
      <c r="D265" s="240">
        <v>31300</v>
      </c>
      <c r="G265" s="237"/>
    </row>
    <row r="266" spans="1:7">
      <c r="A266" s="245" t="s">
        <v>718</v>
      </c>
      <c r="B266" s="239" t="s">
        <v>719</v>
      </c>
      <c r="C266" s="238" t="s">
        <v>335</v>
      </c>
      <c r="D266" s="240">
        <v>43800</v>
      </c>
      <c r="G266" s="237"/>
    </row>
    <row r="267" spans="1:7" ht="27.6">
      <c r="A267" s="245" t="s">
        <v>720</v>
      </c>
      <c r="B267" s="239" t="s">
        <v>721</v>
      </c>
      <c r="C267" s="238" t="s">
        <v>335</v>
      </c>
      <c r="D267" s="240">
        <v>40800</v>
      </c>
      <c r="G267" s="237"/>
    </row>
    <row r="268" spans="1:7">
      <c r="A268" s="245" t="s">
        <v>722</v>
      </c>
      <c r="B268" s="239" t="s">
        <v>723</v>
      </c>
      <c r="C268" s="238" t="s">
        <v>161</v>
      </c>
      <c r="D268" s="240">
        <v>13300</v>
      </c>
      <c r="G268" s="237"/>
    </row>
    <row r="269" spans="1:7">
      <c r="A269" s="245" t="s">
        <v>724</v>
      </c>
      <c r="B269" s="239" t="s">
        <v>725</v>
      </c>
      <c r="C269" s="238" t="s">
        <v>335</v>
      </c>
      <c r="D269" s="240">
        <v>56200</v>
      </c>
      <c r="G269" s="237"/>
    </row>
    <row r="270" spans="1:7" ht="27.6">
      <c r="A270" s="245" t="s">
        <v>726</v>
      </c>
      <c r="B270" s="239" t="s">
        <v>727</v>
      </c>
      <c r="C270" s="238" t="s">
        <v>335</v>
      </c>
      <c r="D270" s="240">
        <v>38600</v>
      </c>
      <c r="G270" s="237"/>
    </row>
    <row r="271" spans="1:7" ht="27.6">
      <c r="A271" s="245" t="s">
        <v>728</v>
      </c>
      <c r="B271" s="239" t="s">
        <v>729</v>
      </c>
      <c r="C271" s="238" t="s">
        <v>335</v>
      </c>
      <c r="D271" s="240">
        <v>2610</v>
      </c>
      <c r="G271" s="237"/>
    </row>
    <row r="272" spans="1:7">
      <c r="A272" s="245" t="s">
        <v>730</v>
      </c>
      <c r="B272" s="239" t="s">
        <v>731</v>
      </c>
      <c r="C272" s="238" t="s">
        <v>335</v>
      </c>
      <c r="D272" s="240">
        <v>25600</v>
      </c>
      <c r="G272" s="237"/>
    </row>
    <row r="273" spans="1:7">
      <c r="A273" s="245" t="s">
        <v>732</v>
      </c>
      <c r="B273" s="239" t="s">
        <v>733</v>
      </c>
      <c r="C273" s="238" t="s">
        <v>335</v>
      </c>
      <c r="D273" s="240">
        <v>32000</v>
      </c>
      <c r="G273" s="237"/>
    </row>
    <row r="274" spans="1:7">
      <c r="A274" s="245" t="s">
        <v>734</v>
      </c>
      <c r="B274" s="239" t="s">
        <v>735</v>
      </c>
      <c r="C274" s="238" t="s">
        <v>161</v>
      </c>
      <c r="D274" s="240">
        <v>1980000</v>
      </c>
      <c r="G274" s="237"/>
    </row>
    <row r="275" spans="1:7">
      <c r="A275" s="245" t="s">
        <v>736</v>
      </c>
      <c r="B275" s="239" t="s">
        <v>737</v>
      </c>
      <c r="C275" s="238" t="s">
        <v>161</v>
      </c>
      <c r="D275" s="240">
        <v>1980000</v>
      </c>
      <c r="G275" s="237"/>
    </row>
    <row r="276" spans="1:7" ht="27.6">
      <c r="A276" s="245" t="s">
        <v>738</v>
      </c>
      <c r="B276" s="239" t="s">
        <v>739</v>
      </c>
      <c r="C276" s="238" t="s">
        <v>44</v>
      </c>
      <c r="D276" s="240">
        <v>200000</v>
      </c>
      <c r="G276" s="237"/>
    </row>
    <row r="277" spans="1:7" ht="27.6">
      <c r="A277" s="245" t="s">
        <v>740</v>
      </c>
      <c r="B277" s="239" t="s">
        <v>741</v>
      </c>
      <c r="C277" s="238" t="s">
        <v>158</v>
      </c>
      <c r="D277" s="240">
        <v>774500</v>
      </c>
      <c r="G277" s="237"/>
    </row>
    <row r="278" spans="1:7" ht="27.6">
      <c r="A278" s="245" t="s">
        <v>108</v>
      </c>
      <c r="B278" s="239" t="s">
        <v>742</v>
      </c>
      <c r="C278" s="238" t="s">
        <v>158</v>
      </c>
      <c r="D278" s="240">
        <v>824000</v>
      </c>
      <c r="G278" s="237"/>
    </row>
    <row r="279" spans="1:7" ht="27.6">
      <c r="A279" s="245" t="s">
        <v>743</v>
      </c>
      <c r="B279" s="239" t="s">
        <v>744</v>
      </c>
      <c r="C279" s="238" t="s">
        <v>158</v>
      </c>
      <c r="D279" s="240">
        <v>903000</v>
      </c>
      <c r="G279" s="237"/>
    </row>
    <row r="280" spans="1:7" ht="27.6">
      <c r="A280" s="245" t="s">
        <v>98</v>
      </c>
      <c r="B280" s="239" t="s">
        <v>745</v>
      </c>
      <c r="C280" s="238" t="s">
        <v>158</v>
      </c>
      <c r="D280" s="240">
        <v>955500</v>
      </c>
      <c r="G280" s="237"/>
    </row>
    <row r="281" spans="1:7" ht="27.6">
      <c r="A281" s="245" t="s">
        <v>746</v>
      </c>
      <c r="B281" s="239" t="s">
        <v>747</v>
      </c>
      <c r="C281" s="238" t="s">
        <v>158</v>
      </c>
      <c r="D281" s="240">
        <v>993500</v>
      </c>
      <c r="G281" s="237"/>
    </row>
    <row r="282" spans="1:7" ht="27.6">
      <c r="A282" s="245" t="s">
        <v>112</v>
      </c>
      <c r="B282" s="239" t="s">
        <v>748</v>
      </c>
      <c r="C282" s="238" t="s">
        <v>158</v>
      </c>
      <c r="D282" s="240">
        <v>1046000</v>
      </c>
      <c r="G282" s="237"/>
    </row>
    <row r="283" spans="1:7" ht="27.6">
      <c r="A283" s="245" t="s">
        <v>139</v>
      </c>
      <c r="B283" s="239" t="s">
        <v>749</v>
      </c>
      <c r="C283" s="238" t="s">
        <v>158</v>
      </c>
      <c r="D283" s="240">
        <v>1119000</v>
      </c>
      <c r="G283" s="237"/>
    </row>
    <row r="284" spans="1:7" ht="27.6">
      <c r="A284" s="245" t="s">
        <v>750</v>
      </c>
      <c r="B284" s="239" t="s">
        <v>751</v>
      </c>
      <c r="C284" s="238" t="s">
        <v>158</v>
      </c>
      <c r="D284" s="240">
        <v>1196000</v>
      </c>
      <c r="G284" s="237"/>
    </row>
    <row r="285" spans="1:7" ht="27.6">
      <c r="A285" s="245" t="s">
        <v>752</v>
      </c>
      <c r="B285" s="239" t="s">
        <v>753</v>
      </c>
      <c r="C285" s="238" t="s">
        <v>158</v>
      </c>
      <c r="D285" s="240">
        <v>1255000</v>
      </c>
      <c r="G285" s="237"/>
    </row>
    <row r="286" spans="1:7" ht="27.6">
      <c r="A286" s="245" t="s">
        <v>754</v>
      </c>
      <c r="B286" s="239" t="s">
        <v>755</v>
      </c>
      <c r="C286" s="238" t="s">
        <v>158</v>
      </c>
      <c r="D286" s="240"/>
      <c r="G286" s="237"/>
    </row>
    <row r="287" spans="1:7" ht="27.6">
      <c r="A287" s="245" t="s">
        <v>129</v>
      </c>
      <c r="B287" s="239" t="s">
        <v>756</v>
      </c>
      <c r="C287" s="238" t="s">
        <v>158</v>
      </c>
      <c r="D287" s="240"/>
      <c r="G287" s="237"/>
    </row>
    <row r="288" spans="1:7" ht="27.6">
      <c r="A288" s="245" t="s">
        <v>757</v>
      </c>
      <c r="B288" s="239" t="s">
        <v>758</v>
      </c>
      <c r="C288" s="238" t="s">
        <v>158</v>
      </c>
      <c r="D288" s="240">
        <v>885000</v>
      </c>
      <c r="G288" s="237"/>
    </row>
    <row r="289" spans="1:7" ht="27.6">
      <c r="A289" s="245" t="s">
        <v>759</v>
      </c>
      <c r="B289" s="239" t="s">
        <v>760</v>
      </c>
      <c r="C289" s="238" t="s">
        <v>158</v>
      </c>
      <c r="D289" s="240">
        <v>1568000</v>
      </c>
      <c r="G289" s="237"/>
    </row>
    <row r="290" spans="1:7" ht="27.6">
      <c r="A290" s="245" t="s">
        <v>761</v>
      </c>
      <c r="B290" s="239" t="s">
        <v>762</v>
      </c>
      <c r="C290" s="238" t="s">
        <v>158</v>
      </c>
      <c r="D290" s="240">
        <v>986000</v>
      </c>
      <c r="G290" s="237"/>
    </row>
    <row r="291" spans="1:7" ht="41.4">
      <c r="A291" s="245" t="s">
        <v>763</v>
      </c>
      <c r="B291" s="239" t="s">
        <v>764</v>
      </c>
      <c r="C291" s="238" t="s">
        <v>158</v>
      </c>
      <c r="D291" s="240">
        <v>892500</v>
      </c>
      <c r="G291" s="237"/>
    </row>
    <row r="292" spans="1:7" ht="27.6">
      <c r="A292" s="245" t="s">
        <v>765</v>
      </c>
      <c r="B292" s="239" t="s">
        <v>766</v>
      </c>
      <c r="C292" s="238" t="s">
        <v>158</v>
      </c>
      <c r="D292" s="240">
        <v>575</v>
      </c>
      <c r="G292" s="237"/>
    </row>
    <row r="293" spans="1:7" ht="27.6">
      <c r="A293" s="245" t="s">
        <v>140</v>
      </c>
      <c r="B293" s="239" t="s">
        <v>767</v>
      </c>
      <c r="C293" s="238" t="s">
        <v>158</v>
      </c>
      <c r="D293" s="240">
        <v>209500</v>
      </c>
      <c r="G293" s="237"/>
    </row>
    <row r="294" spans="1:7" ht="27.6">
      <c r="A294" s="245" t="s">
        <v>169</v>
      </c>
      <c r="B294" s="239" t="s">
        <v>768</v>
      </c>
      <c r="C294" s="238" t="s">
        <v>158</v>
      </c>
      <c r="D294" s="240">
        <v>145000</v>
      </c>
      <c r="G294" s="237"/>
    </row>
    <row r="295" spans="1:7" ht="55.2">
      <c r="A295" s="245" t="s">
        <v>769</v>
      </c>
      <c r="B295" s="239" t="s">
        <v>770</v>
      </c>
      <c r="C295" s="238" t="s">
        <v>158</v>
      </c>
      <c r="D295" s="240">
        <v>222000</v>
      </c>
      <c r="G295" s="237"/>
    </row>
    <row r="296" spans="1:7" ht="27.6">
      <c r="A296" s="245" t="s">
        <v>771</v>
      </c>
      <c r="B296" s="239" t="s">
        <v>772</v>
      </c>
      <c r="C296" s="238" t="s">
        <v>158</v>
      </c>
      <c r="D296" s="240">
        <v>62300</v>
      </c>
      <c r="G296" s="237"/>
    </row>
    <row r="297" spans="1:7" ht="27.6">
      <c r="A297" s="245" t="s">
        <v>773</v>
      </c>
      <c r="B297" s="239" t="s">
        <v>774</v>
      </c>
      <c r="C297" s="238" t="s">
        <v>158</v>
      </c>
      <c r="D297" s="240">
        <v>24000</v>
      </c>
      <c r="G297" s="237"/>
    </row>
    <row r="298" spans="1:7">
      <c r="A298" s="245" t="s">
        <v>775</v>
      </c>
      <c r="B298" s="239" t="s">
        <v>776</v>
      </c>
      <c r="C298" s="238" t="s">
        <v>158</v>
      </c>
      <c r="D298" s="240">
        <v>69000</v>
      </c>
      <c r="G298" s="237"/>
    </row>
    <row r="299" spans="1:7" ht="27.6">
      <c r="A299" s="245" t="s">
        <v>777</v>
      </c>
      <c r="B299" s="239" t="s">
        <v>778</v>
      </c>
      <c r="C299" s="238" t="s">
        <v>158</v>
      </c>
      <c r="D299" s="240">
        <v>94100</v>
      </c>
      <c r="G299" s="237"/>
    </row>
    <row r="300" spans="1:7">
      <c r="A300" s="245" t="s">
        <v>779</v>
      </c>
      <c r="B300" s="239" t="s">
        <v>780</v>
      </c>
      <c r="C300" s="238" t="s">
        <v>15</v>
      </c>
      <c r="D300" s="240">
        <v>26700</v>
      </c>
      <c r="G300" s="237"/>
    </row>
    <row r="301" spans="1:7" ht="27.6">
      <c r="A301" s="245" t="s">
        <v>781</v>
      </c>
      <c r="B301" s="239" t="s">
        <v>782</v>
      </c>
      <c r="C301" s="238" t="s">
        <v>15</v>
      </c>
      <c r="D301" s="240">
        <v>23700</v>
      </c>
      <c r="G301" s="237"/>
    </row>
    <row r="302" spans="1:7">
      <c r="A302" s="245" t="s">
        <v>1</v>
      </c>
      <c r="B302" s="239" t="s">
        <v>783</v>
      </c>
      <c r="C302" s="238" t="s">
        <v>158</v>
      </c>
      <c r="D302" s="240">
        <v>30700</v>
      </c>
      <c r="G302" s="237"/>
    </row>
    <row r="303" spans="1:7" ht="27.6">
      <c r="A303" s="245" t="s">
        <v>784</v>
      </c>
      <c r="B303" s="239" t="s">
        <v>785</v>
      </c>
      <c r="C303" s="238" t="s">
        <v>158</v>
      </c>
      <c r="D303" s="240">
        <v>33700</v>
      </c>
      <c r="G303" s="237"/>
    </row>
    <row r="304" spans="1:7" ht="27.6">
      <c r="A304" s="245" t="s">
        <v>786</v>
      </c>
      <c r="B304" s="239" t="s">
        <v>787</v>
      </c>
      <c r="C304" s="238" t="s">
        <v>15</v>
      </c>
      <c r="D304" s="240">
        <v>209000</v>
      </c>
      <c r="G304" s="237"/>
    </row>
    <row r="305" spans="1:7" ht="27.6">
      <c r="A305" s="245" t="s">
        <v>788</v>
      </c>
      <c r="B305" s="239" t="s">
        <v>789</v>
      </c>
      <c r="C305" s="238" t="s">
        <v>15</v>
      </c>
      <c r="D305" s="240">
        <v>365000</v>
      </c>
      <c r="G305" s="237"/>
    </row>
    <row r="306" spans="1:7" ht="27.6">
      <c r="A306" s="245" t="s">
        <v>790</v>
      </c>
      <c r="B306" s="239" t="s">
        <v>791</v>
      </c>
      <c r="C306" s="238" t="s">
        <v>15</v>
      </c>
      <c r="D306" s="240">
        <v>22400</v>
      </c>
      <c r="G306" s="237"/>
    </row>
    <row r="307" spans="1:7" ht="27.6">
      <c r="A307" s="245" t="s">
        <v>792</v>
      </c>
      <c r="B307" s="239" t="s">
        <v>793</v>
      </c>
      <c r="C307" s="238" t="s">
        <v>335</v>
      </c>
      <c r="D307" s="240">
        <v>1160</v>
      </c>
      <c r="G307" s="237"/>
    </row>
    <row r="308" spans="1:7">
      <c r="A308" s="245" t="s">
        <v>794</v>
      </c>
      <c r="B308" s="239" t="s">
        <v>795</v>
      </c>
      <c r="C308" s="238" t="s">
        <v>618</v>
      </c>
      <c r="D308" s="240">
        <v>28200</v>
      </c>
      <c r="G308" s="237"/>
    </row>
    <row r="309" spans="1:7">
      <c r="A309" s="245" t="s">
        <v>796</v>
      </c>
      <c r="B309" s="239" t="s">
        <v>797</v>
      </c>
      <c r="C309" s="238" t="s">
        <v>618</v>
      </c>
      <c r="D309" s="240">
        <v>146000</v>
      </c>
      <c r="G309" s="237"/>
    </row>
    <row r="310" spans="1:7" ht="27.6">
      <c r="A310" s="245" t="s">
        <v>798</v>
      </c>
      <c r="B310" s="239" t="s">
        <v>799</v>
      </c>
      <c r="C310" s="238" t="s">
        <v>335</v>
      </c>
      <c r="D310" s="240"/>
      <c r="G310" s="237"/>
    </row>
    <row r="311" spans="1:7">
      <c r="A311" s="245" t="s">
        <v>800</v>
      </c>
      <c r="B311" s="239" t="s">
        <v>801</v>
      </c>
      <c r="C311" s="238" t="s">
        <v>143</v>
      </c>
      <c r="D311" s="240">
        <v>257000</v>
      </c>
      <c r="G311" s="237"/>
    </row>
    <row r="312" spans="1:7" ht="27.6">
      <c r="A312" s="245" t="s">
        <v>802</v>
      </c>
      <c r="B312" s="239" t="s">
        <v>803</v>
      </c>
      <c r="C312" s="238" t="s">
        <v>143</v>
      </c>
      <c r="D312" s="240">
        <v>7100</v>
      </c>
      <c r="G312" s="237"/>
    </row>
    <row r="313" spans="1:7" ht="27.6">
      <c r="A313" s="245" t="s">
        <v>804</v>
      </c>
      <c r="B313" s="239" t="s">
        <v>805</v>
      </c>
      <c r="C313" s="238" t="s">
        <v>496</v>
      </c>
      <c r="D313" s="240">
        <v>10</v>
      </c>
      <c r="G313" s="237"/>
    </row>
    <row r="314" spans="1:7" ht="27.6">
      <c r="A314" s="245" t="s">
        <v>806</v>
      </c>
      <c r="B314" s="239" t="s">
        <v>807</v>
      </c>
      <c r="C314" s="238" t="s">
        <v>15</v>
      </c>
      <c r="D314" s="240">
        <v>42000</v>
      </c>
      <c r="G314" s="237"/>
    </row>
    <row r="315" spans="1:7">
      <c r="A315" s="245" t="s">
        <v>808</v>
      </c>
      <c r="B315" s="239" t="s">
        <v>809</v>
      </c>
      <c r="C315" s="238" t="s">
        <v>335</v>
      </c>
      <c r="D315" s="240">
        <v>24300</v>
      </c>
      <c r="G315" s="237"/>
    </row>
    <row r="316" spans="1:7">
      <c r="A316" s="245" t="s">
        <v>810</v>
      </c>
      <c r="B316" s="239" t="s">
        <v>811</v>
      </c>
      <c r="C316" s="238" t="s">
        <v>335</v>
      </c>
      <c r="D316" s="240">
        <v>21600</v>
      </c>
      <c r="G316" s="237"/>
    </row>
    <row r="317" spans="1:7" ht="41.4">
      <c r="A317" s="245" t="s">
        <v>170</v>
      </c>
      <c r="B317" s="239" t="s">
        <v>812</v>
      </c>
      <c r="C317" s="238" t="s">
        <v>335</v>
      </c>
      <c r="D317" s="240">
        <v>23700</v>
      </c>
      <c r="G317" s="237"/>
    </row>
    <row r="318" spans="1:7" ht="41.4">
      <c r="A318" s="245" t="s">
        <v>813</v>
      </c>
      <c r="B318" s="239" t="s">
        <v>814</v>
      </c>
      <c r="C318" s="238" t="s">
        <v>335</v>
      </c>
      <c r="D318" s="240">
        <v>25100</v>
      </c>
      <c r="G318" s="237"/>
    </row>
    <row r="319" spans="1:7" ht="27.6">
      <c r="A319" s="245" t="s">
        <v>815</v>
      </c>
      <c r="B319" s="239" t="s">
        <v>816</v>
      </c>
      <c r="C319" s="238" t="s">
        <v>335</v>
      </c>
      <c r="D319" s="240">
        <v>25800</v>
      </c>
      <c r="G319" s="237"/>
    </row>
    <row r="320" spans="1:7">
      <c r="A320" s="245" t="s">
        <v>817</v>
      </c>
      <c r="B320" s="239" t="s">
        <v>818</v>
      </c>
      <c r="C320" s="238" t="s">
        <v>335</v>
      </c>
      <c r="D320" s="240">
        <v>31100</v>
      </c>
      <c r="G320" s="237"/>
    </row>
    <row r="321" spans="1:7">
      <c r="A321" s="245" t="s">
        <v>171</v>
      </c>
      <c r="B321" s="239" t="s">
        <v>172</v>
      </c>
      <c r="C321" s="238" t="s">
        <v>335</v>
      </c>
      <c r="D321" s="240">
        <v>20100</v>
      </c>
      <c r="G321" s="237"/>
    </row>
    <row r="322" spans="1:7" ht="27.6">
      <c r="A322" s="245" t="s">
        <v>819</v>
      </c>
      <c r="B322" s="239" t="s">
        <v>820</v>
      </c>
      <c r="C322" s="238" t="s">
        <v>335</v>
      </c>
      <c r="D322" s="240">
        <v>24900</v>
      </c>
      <c r="G322" s="237"/>
    </row>
    <row r="323" spans="1:7" ht="41.4">
      <c r="A323" s="245" t="s">
        <v>821</v>
      </c>
      <c r="B323" s="239" t="s">
        <v>822</v>
      </c>
      <c r="C323" s="238" t="s">
        <v>335</v>
      </c>
      <c r="D323" s="240">
        <v>23900</v>
      </c>
      <c r="G323" s="237"/>
    </row>
    <row r="324" spans="1:7" ht="41.4">
      <c r="A324" s="245" t="s">
        <v>823</v>
      </c>
      <c r="B324" s="239" t="s">
        <v>824</v>
      </c>
      <c r="C324" s="238" t="s">
        <v>335</v>
      </c>
      <c r="D324" s="240">
        <v>22700</v>
      </c>
      <c r="G324" s="237"/>
    </row>
    <row r="325" spans="1:7" ht="41.4">
      <c r="A325" s="245" t="s">
        <v>825</v>
      </c>
      <c r="B325" s="239" t="s">
        <v>826</v>
      </c>
      <c r="C325" s="238" t="s">
        <v>335</v>
      </c>
      <c r="D325" s="240">
        <v>24800</v>
      </c>
      <c r="G325" s="237"/>
    </row>
    <row r="326" spans="1:7" ht="41.4">
      <c r="A326" s="245" t="s">
        <v>827</v>
      </c>
      <c r="B326" s="239" t="s">
        <v>828</v>
      </c>
      <c r="C326" s="238" t="s">
        <v>335</v>
      </c>
      <c r="D326" s="240">
        <v>29800</v>
      </c>
      <c r="G326" s="237"/>
    </row>
    <row r="327" spans="1:7" ht="27.6">
      <c r="A327" s="245" t="s">
        <v>829</v>
      </c>
      <c r="B327" s="239" t="s">
        <v>830</v>
      </c>
      <c r="C327" s="238" t="s">
        <v>335</v>
      </c>
      <c r="D327" s="240">
        <v>23700</v>
      </c>
      <c r="G327" s="237"/>
    </row>
    <row r="328" spans="1:7" ht="27.6">
      <c r="A328" s="245" t="s">
        <v>831</v>
      </c>
      <c r="B328" s="239" t="s">
        <v>832</v>
      </c>
      <c r="C328" s="238" t="s">
        <v>335</v>
      </c>
      <c r="D328" s="240">
        <v>20600</v>
      </c>
      <c r="G328" s="237"/>
    </row>
    <row r="329" spans="1:7" ht="41.4">
      <c r="A329" s="245" t="s">
        <v>833</v>
      </c>
      <c r="B329" s="239" t="s">
        <v>834</v>
      </c>
      <c r="C329" s="238" t="s">
        <v>335</v>
      </c>
      <c r="D329" s="240">
        <v>23800</v>
      </c>
      <c r="G329" s="237"/>
    </row>
    <row r="330" spans="1:7" ht="41.4">
      <c r="A330" s="245" t="s">
        <v>835</v>
      </c>
      <c r="B330" s="239" t="s">
        <v>836</v>
      </c>
      <c r="C330" s="238" t="s">
        <v>335</v>
      </c>
      <c r="D330" s="240">
        <v>23000</v>
      </c>
      <c r="G330" s="237"/>
    </row>
    <row r="331" spans="1:7" ht="41.4">
      <c r="A331" s="245" t="s">
        <v>837</v>
      </c>
      <c r="B331" s="239" t="s">
        <v>838</v>
      </c>
      <c r="C331" s="238" t="s">
        <v>335</v>
      </c>
      <c r="D331" s="240">
        <v>26000</v>
      </c>
      <c r="G331" s="237"/>
    </row>
    <row r="332" spans="1:7" ht="55.2">
      <c r="A332" s="245" t="s">
        <v>839</v>
      </c>
      <c r="B332" s="239" t="s">
        <v>840</v>
      </c>
      <c r="C332" s="238" t="s">
        <v>335</v>
      </c>
      <c r="D332" s="240">
        <v>24500</v>
      </c>
      <c r="G332" s="237"/>
    </row>
    <row r="333" spans="1:7" ht="55.2">
      <c r="A333" s="245" t="s">
        <v>841</v>
      </c>
      <c r="B333" s="239" t="s">
        <v>842</v>
      </c>
      <c r="C333" s="238" t="s">
        <v>335</v>
      </c>
      <c r="D333" s="240">
        <v>22600</v>
      </c>
      <c r="G333" s="237"/>
    </row>
    <row r="334" spans="1:7" ht="55.2">
      <c r="A334" s="245" t="s">
        <v>843</v>
      </c>
      <c r="B334" s="239" t="s">
        <v>844</v>
      </c>
      <c r="C334" s="238" t="s">
        <v>335</v>
      </c>
      <c r="D334" s="240">
        <v>24200</v>
      </c>
      <c r="G334" s="237"/>
    </row>
    <row r="335" spans="1:7" ht="41.4">
      <c r="A335" s="245" t="s">
        <v>845</v>
      </c>
      <c r="B335" s="239" t="s">
        <v>846</v>
      </c>
      <c r="C335" s="238" t="s">
        <v>335</v>
      </c>
      <c r="D335" s="240">
        <v>31000</v>
      </c>
      <c r="G335" s="237"/>
    </row>
    <row r="336" spans="1:7" ht="41.4">
      <c r="A336" s="245" t="s">
        <v>847</v>
      </c>
      <c r="B336" s="239" t="s">
        <v>848</v>
      </c>
      <c r="C336" s="238" t="s">
        <v>335</v>
      </c>
      <c r="D336" s="240">
        <v>2000</v>
      </c>
      <c r="G336" s="237"/>
    </row>
    <row r="337" spans="1:7" ht="27.6">
      <c r="A337" s="245" t="s">
        <v>849</v>
      </c>
      <c r="B337" s="239" t="s">
        <v>850</v>
      </c>
      <c r="C337" s="238" t="s">
        <v>335</v>
      </c>
      <c r="D337" s="240">
        <v>3890</v>
      </c>
      <c r="G337" s="237"/>
    </row>
    <row r="338" spans="1:7" ht="27.6">
      <c r="A338" s="245" t="s">
        <v>851</v>
      </c>
      <c r="B338" s="239" t="s">
        <v>852</v>
      </c>
      <c r="C338" s="238" t="s">
        <v>335</v>
      </c>
      <c r="D338" s="240"/>
      <c r="G338" s="237"/>
    </row>
    <row r="339" spans="1:7" ht="55.2">
      <c r="A339" s="245" t="s">
        <v>853</v>
      </c>
      <c r="B339" s="239" t="s">
        <v>854</v>
      </c>
      <c r="C339" s="238" t="s">
        <v>335</v>
      </c>
      <c r="D339" s="240">
        <v>24500</v>
      </c>
      <c r="G339" s="237"/>
    </row>
    <row r="340" spans="1:7" ht="55.2">
      <c r="A340" s="245" t="s">
        <v>855</v>
      </c>
      <c r="B340" s="239" t="s">
        <v>856</v>
      </c>
      <c r="C340" s="238" t="s">
        <v>335</v>
      </c>
      <c r="D340" s="240">
        <v>26300</v>
      </c>
      <c r="G340" s="237"/>
    </row>
    <row r="341" spans="1:7" ht="27.6">
      <c r="A341" s="245" t="s">
        <v>857</v>
      </c>
      <c r="B341" s="239" t="s">
        <v>858</v>
      </c>
      <c r="C341" s="238" t="s">
        <v>335</v>
      </c>
      <c r="D341" s="240">
        <v>17500</v>
      </c>
      <c r="G341" s="237"/>
    </row>
    <row r="342" spans="1:7" ht="55.2">
      <c r="A342" s="245" t="s">
        <v>859</v>
      </c>
      <c r="B342" s="239" t="s">
        <v>860</v>
      </c>
      <c r="C342" s="238" t="s">
        <v>335</v>
      </c>
      <c r="D342" s="240">
        <v>27000</v>
      </c>
      <c r="G342" s="237"/>
    </row>
    <row r="343" spans="1:7" ht="55.2">
      <c r="A343" s="245" t="s">
        <v>861</v>
      </c>
      <c r="B343" s="239" t="s">
        <v>862</v>
      </c>
      <c r="C343" s="238" t="s">
        <v>335</v>
      </c>
      <c r="D343" s="240">
        <v>33100</v>
      </c>
      <c r="G343" s="237"/>
    </row>
    <row r="344" spans="1:7" ht="41.4">
      <c r="A344" s="245" t="s">
        <v>863</v>
      </c>
      <c r="B344" s="239" t="s">
        <v>864</v>
      </c>
      <c r="C344" s="238" t="s">
        <v>335</v>
      </c>
      <c r="D344" s="240">
        <v>26100</v>
      </c>
      <c r="G344" s="237"/>
    </row>
    <row r="345" spans="1:7" ht="41.4">
      <c r="A345" s="245" t="s">
        <v>865</v>
      </c>
      <c r="B345" s="239" t="s">
        <v>866</v>
      </c>
      <c r="C345" s="238" t="s">
        <v>335</v>
      </c>
      <c r="D345" s="240"/>
      <c r="G345" s="237"/>
    </row>
    <row r="346" spans="1:7" ht="27.6">
      <c r="A346" s="245" t="s">
        <v>867</v>
      </c>
      <c r="B346" s="239" t="s">
        <v>868</v>
      </c>
      <c r="C346" s="238" t="s">
        <v>335</v>
      </c>
      <c r="D346" s="240">
        <v>40400</v>
      </c>
      <c r="G346" s="237"/>
    </row>
    <row r="347" spans="1:7" ht="41.4">
      <c r="A347" s="245" t="s">
        <v>869</v>
      </c>
      <c r="B347" s="239" t="s">
        <v>870</v>
      </c>
      <c r="C347" s="238" t="s">
        <v>335</v>
      </c>
      <c r="D347" s="240">
        <v>6170</v>
      </c>
      <c r="G347" s="237"/>
    </row>
    <row r="348" spans="1:7" ht="41.4">
      <c r="A348" s="245" t="s">
        <v>871</v>
      </c>
      <c r="B348" s="239" t="s">
        <v>872</v>
      </c>
      <c r="C348" s="238" t="s">
        <v>335</v>
      </c>
      <c r="D348" s="240">
        <v>10700</v>
      </c>
      <c r="G348" s="237"/>
    </row>
    <row r="349" spans="1:7" ht="55.2">
      <c r="A349" s="245" t="s">
        <v>873</v>
      </c>
      <c r="B349" s="239" t="s">
        <v>874</v>
      </c>
      <c r="C349" s="238" t="s">
        <v>335</v>
      </c>
      <c r="D349" s="240">
        <v>6240</v>
      </c>
      <c r="G349" s="237"/>
    </row>
    <row r="350" spans="1:7" ht="41.4">
      <c r="A350" s="245" t="s">
        <v>875</v>
      </c>
      <c r="B350" s="239" t="s">
        <v>876</v>
      </c>
      <c r="C350" s="238" t="s">
        <v>335</v>
      </c>
      <c r="D350" s="240">
        <v>8350</v>
      </c>
      <c r="G350" s="237"/>
    </row>
    <row r="351" spans="1:7">
      <c r="A351" s="245" t="s">
        <v>877</v>
      </c>
      <c r="B351" s="239" t="s">
        <v>878</v>
      </c>
      <c r="C351" s="238" t="s">
        <v>335</v>
      </c>
      <c r="D351" s="240">
        <v>7310</v>
      </c>
      <c r="G351" s="237"/>
    </row>
    <row r="352" spans="1:7" ht="41.4">
      <c r="A352" s="245" t="s">
        <v>879</v>
      </c>
      <c r="B352" s="239" t="s">
        <v>880</v>
      </c>
      <c r="C352" s="238" t="s">
        <v>335</v>
      </c>
      <c r="D352" s="240">
        <v>32100</v>
      </c>
      <c r="G352" s="237"/>
    </row>
    <row r="353" spans="1:7" ht="41.4">
      <c r="A353" s="245" t="s">
        <v>881</v>
      </c>
      <c r="B353" s="239" t="s">
        <v>882</v>
      </c>
      <c r="C353" s="238" t="s">
        <v>335</v>
      </c>
      <c r="D353" s="240"/>
      <c r="G353" s="237"/>
    </row>
    <row r="354" spans="1:7" ht="55.2">
      <c r="A354" s="245" t="s">
        <v>115</v>
      </c>
      <c r="B354" s="239" t="s">
        <v>883</v>
      </c>
      <c r="C354" s="238" t="s">
        <v>335</v>
      </c>
      <c r="D354" s="240">
        <v>35000</v>
      </c>
      <c r="G354" s="237"/>
    </row>
    <row r="355" spans="1:7">
      <c r="A355" s="245" t="s">
        <v>884</v>
      </c>
      <c r="B355" s="239" t="s">
        <v>885</v>
      </c>
      <c r="C355" s="238" t="s">
        <v>335</v>
      </c>
      <c r="D355" s="240">
        <v>69500</v>
      </c>
      <c r="G355" s="237"/>
    </row>
    <row r="356" spans="1:7" ht="27.6">
      <c r="A356" s="245" t="s">
        <v>886</v>
      </c>
      <c r="B356" s="239" t="s">
        <v>887</v>
      </c>
      <c r="C356" s="238" t="s">
        <v>335</v>
      </c>
      <c r="D356" s="240">
        <v>20200</v>
      </c>
      <c r="G356" s="237"/>
    </row>
    <row r="357" spans="1:7" ht="41.4">
      <c r="A357" s="245" t="s">
        <v>888</v>
      </c>
      <c r="B357" s="239" t="s">
        <v>889</v>
      </c>
      <c r="C357" s="238" t="s">
        <v>335</v>
      </c>
      <c r="D357" s="240">
        <v>38000</v>
      </c>
      <c r="G357" s="237"/>
    </row>
    <row r="358" spans="1:7" ht="27.6">
      <c r="A358" s="245" t="s">
        <v>890</v>
      </c>
      <c r="B358" s="239" t="s">
        <v>891</v>
      </c>
      <c r="C358" s="238" t="s">
        <v>335</v>
      </c>
      <c r="D358" s="240">
        <v>90000</v>
      </c>
      <c r="G358" s="237"/>
    </row>
    <row r="359" spans="1:7" ht="27.6">
      <c r="A359" s="245" t="s">
        <v>892</v>
      </c>
      <c r="B359" s="239" t="s">
        <v>893</v>
      </c>
      <c r="C359" s="238" t="s">
        <v>242</v>
      </c>
      <c r="D359" s="240">
        <v>128500</v>
      </c>
      <c r="G359" s="237"/>
    </row>
    <row r="360" spans="1:7" ht="27.6">
      <c r="A360" s="245" t="s">
        <v>141</v>
      </c>
      <c r="B360" s="239" t="s">
        <v>894</v>
      </c>
      <c r="C360" s="238" t="s">
        <v>242</v>
      </c>
      <c r="D360" s="240">
        <v>156500</v>
      </c>
      <c r="G360" s="237"/>
    </row>
    <row r="361" spans="1:7" ht="27.6">
      <c r="A361" s="245" t="s">
        <v>895</v>
      </c>
      <c r="B361" s="239" t="s">
        <v>896</v>
      </c>
      <c r="C361" s="238" t="s">
        <v>242</v>
      </c>
      <c r="D361" s="240">
        <v>252500</v>
      </c>
      <c r="G361" s="237"/>
    </row>
    <row r="362" spans="1:7" ht="27.6">
      <c r="A362" s="245" t="s">
        <v>897</v>
      </c>
      <c r="B362" s="239" t="s">
        <v>898</v>
      </c>
      <c r="C362" s="238" t="s">
        <v>242</v>
      </c>
      <c r="D362" s="240">
        <v>429500</v>
      </c>
      <c r="G362" s="237"/>
    </row>
    <row r="363" spans="1:7" ht="27.6">
      <c r="A363" s="245" t="s">
        <v>899</v>
      </c>
      <c r="B363" s="239" t="s">
        <v>900</v>
      </c>
      <c r="C363" s="238" t="s">
        <v>242</v>
      </c>
      <c r="D363" s="240"/>
      <c r="G363" s="237"/>
    </row>
    <row r="364" spans="1:7" ht="27.6">
      <c r="A364" s="245" t="s">
        <v>901</v>
      </c>
      <c r="B364" s="239" t="s">
        <v>902</v>
      </c>
      <c r="C364" s="238" t="s">
        <v>335</v>
      </c>
      <c r="D364" s="240">
        <v>23500</v>
      </c>
      <c r="G364" s="237"/>
    </row>
    <row r="365" spans="1:7">
      <c r="A365" s="245" t="s">
        <v>903</v>
      </c>
      <c r="B365" s="239" t="s">
        <v>904</v>
      </c>
      <c r="C365" s="238" t="s">
        <v>335</v>
      </c>
      <c r="D365" s="240">
        <v>50200</v>
      </c>
      <c r="G365" s="237"/>
    </row>
    <row r="366" spans="1:7" ht="27.6">
      <c r="A366" s="245" t="s">
        <v>905</v>
      </c>
      <c r="B366" s="239" t="s">
        <v>906</v>
      </c>
      <c r="C366" s="238" t="s">
        <v>161</v>
      </c>
      <c r="D366" s="240">
        <v>25100</v>
      </c>
      <c r="G366" s="237"/>
    </row>
    <row r="367" spans="1:7" ht="41.4">
      <c r="A367" s="245" t="s">
        <v>907</v>
      </c>
      <c r="B367" s="239" t="s">
        <v>908</v>
      </c>
      <c r="C367" s="238" t="s">
        <v>335</v>
      </c>
      <c r="D367" s="240">
        <v>83200</v>
      </c>
      <c r="G367" s="237"/>
    </row>
    <row r="368" spans="1:7" ht="27.6">
      <c r="A368" s="245" t="s">
        <v>909</v>
      </c>
      <c r="B368" s="239" t="s">
        <v>910</v>
      </c>
      <c r="C368" s="238" t="s">
        <v>335</v>
      </c>
      <c r="D368" s="240">
        <v>55200</v>
      </c>
      <c r="G368" s="237"/>
    </row>
    <row r="369" spans="1:7" ht="27.6">
      <c r="A369" s="245" t="s">
        <v>911</v>
      </c>
      <c r="B369" s="239" t="s">
        <v>912</v>
      </c>
      <c r="C369" s="238" t="s">
        <v>335</v>
      </c>
      <c r="D369" s="240"/>
      <c r="G369" s="237"/>
    </row>
    <row r="370" spans="1:7" ht="27.6">
      <c r="A370" s="245" t="s">
        <v>913</v>
      </c>
      <c r="B370" s="239" t="s">
        <v>914</v>
      </c>
      <c r="C370" s="238" t="s">
        <v>335</v>
      </c>
      <c r="D370" s="240">
        <v>2820</v>
      </c>
      <c r="G370" s="237"/>
    </row>
    <row r="371" spans="1:7" ht="41.4">
      <c r="A371" s="245" t="s">
        <v>915</v>
      </c>
      <c r="B371" s="239" t="s">
        <v>916</v>
      </c>
      <c r="C371" s="238" t="s">
        <v>335</v>
      </c>
      <c r="D371" s="240">
        <v>74700</v>
      </c>
      <c r="G371" s="237"/>
    </row>
    <row r="372" spans="1:7" ht="41.4">
      <c r="A372" s="245" t="s">
        <v>917</v>
      </c>
      <c r="B372" s="239" t="s">
        <v>918</v>
      </c>
      <c r="C372" s="238" t="s">
        <v>335</v>
      </c>
      <c r="D372" s="240">
        <v>130000</v>
      </c>
      <c r="G372" s="237"/>
    </row>
    <row r="373" spans="1:7" ht="27.6">
      <c r="A373" s="245" t="s">
        <v>919</v>
      </c>
      <c r="B373" s="239" t="s">
        <v>920</v>
      </c>
      <c r="C373" s="238" t="s">
        <v>335</v>
      </c>
      <c r="D373" s="240">
        <v>18300</v>
      </c>
      <c r="G373" s="237"/>
    </row>
    <row r="374" spans="1:7" ht="41.4">
      <c r="A374" s="245" t="s">
        <v>921</v>
      </c>
      <c r="B374" s="239" t="s">
        <v>922</v>
      </c>
      <c r="C374" s="238" t="s">
        <v>335</v>
      </c>
      <c r="D374" s="240">
        <v>44200</v>
      </c>
      <c r="G374" s="237"/>
    </row>
    <row r="375" spans="1:7" ht="27.6">
      <c r="A375" s="245" t="s">
        <v>923</v>
      </c>
      <c r="B375" s="239" t="s">
        <v>924</v>
      </c>
      <c r="C375" s="238" t="s">
        <v>335</v>
      </c>
      <c r="D375" s="240">
        <v>4330</v>
      </c>
      <c r="G375" s="237"/>
    </row>
    <row r="376" spans="1:7" ht="27.6">
      <c r="A376" s="245" t="s">
        <v>925</v>
      </c>
      <c r="B376" s="239" t="s">
        <v>926</v>
      </c>
      <c r="C376" s="238" t="s">
        <v>335</v>
      </c>
      <c r="D376" s="240"/>
      <c r="G376" s="237"/>
    </row>
    <row r="377" spans="1:7">
      <c r="A377" s="245" t="s">
        <v>927</v>
      </c>
      <c r="B377" s="239" t="s">
        <v>928</v>
      </c>
      <c r="C377" s="238" t="s">
        <v>335</v>
      </c>
      <c r="D377" s="240">
        <v>2820</v>
      </c>
      <c r="G377" s="237"/>
    </row>
    <row r="378" spans="1:7" ht="27.6">
      <c r="A378" s="245" t="s">
        <v>929</v>
      </c>
      <c r="B378" s="239" t="s">
        <v>930</v>
      </c>
      <c r="C378" s="238" t="s">
        <v>335</v>
      </c>
      <c r="D378" s="240">
        <v>19200</v>
      </c>
      <c r="G378" s="237"/>
    </row>
    <row r="379" spans="1:7" ht="27.6">
      <c r="A379" s="245" t="s">
        <v>931</v>
      </c>
      <c r="B379" s="239" t="s">
        <v>932</v>
      </c>
      <c r="C379" s="238" t="s">
        <v>335</v>
      </c>
      <c r="D379" s="240">
        <v>3360</v>
      </c>
      <c r="G379" s="237"/>
    </row>
    <row r="380" spans="1:7" ht="27.6">
      <c r="A380" s="245" t="s">
        <v>933</v>
      </c>
      <c r="B380" s="239" t="s">
        <v>934</v>
      </c>
      <c r="C380" s="238" t="s">
        <v>335</v>
      </c>
      <c r="D380" s="240">
        <v>3200</v>
      </c>
      <c r="G380" s="237"/>
    </row>
    <row r="381" spans="1:7">
      <c r="A381" s="245" t="s">
        <v>935</v>
      </c>
      <c r="B381" s="239" t="s">
        <v>936</v>
      </c>
      <c r="C381" s="238" t="s">
        <v>335</v>
      </c>
      <c r="D381" s="240">
        <v>10700</v>
      </c>
      <c r="G381" s="237"/>
    </row>
    <row r="382" spans="1:7" ht="27.6">
      <c r="A382" s="245" t="s">
        <v>937</v>
      </c>
      <c r="B382" s="239" t="s">
        <v>938</v>
      </c>
      <c r="C382" s="238" t="s">
        <v>335</v>
      </c>
      <c r="D382" s="240">
        <v>48700</v>
      </c>
      <c r="G382" s="237"/>
    </row>
    <row r="383" spans="1:7" ht="41.4">
      <c r="A383" s="245" t="s">
        <v>939</v>
      </c>
      <c r="B383" s="239" t="s">
        <v>940</v>
      </c>
      <c r="C383" s="238" t="s">
        <v>335</v>
      </c>
      <c r="D383" s="240">
        <v>63200</v>
      </c>
      <c r="G383" s="237"/>
    </row>
    <row r="384" spans="1:7" ht="27.6">
      <c r="A384" s="245" t="s">
        <v>941</v>
      </c>
      <c r="B384" s="239" t="s">
        <v>942</v>
      </c>
      <c r="C384" s="238" t="s">
        <v>335</v>
      </c>
      <c r="D384" s="240"/>
      <c r="G384" s="237"/>
    </row>
    <row r="385" spans="1:7" ht="27.6">
      <c r="A385" s="245" t="s">
        <v>943</v>
      </c>
      <c r="B385" s="239" t="s">
        <v>944</v>
      </c>
      <c r="C385" s="238" t="s">
        <v>335</v>
      </c>
      <c r="D385" s="240">
        <v>24400</v>
      </c>
      <c r="G385" s="237"/>
    </row>
    <row r="386" spans="1:7" ht="27.6">
      <c r="A386" s="245" t="s">
        <v>945</v>
      </c>
      <c r="B386" s="239" t="s">
        <v>946</v>
      </c>
      <c r="C386" s="238" t="s">
        <v>335</v>
      </c>
      <c r="D386" s="240"/>
      <c r="G386" s="237"/>
    </row>
    <row r="387" spans="1:7" ht="27.6">
      <c r="A387" s="245" t="s">
        <v>947</v>
      </c>
      <c r="B387" s="239" t="s">
        <v>948</v>
      </c>
      <c r="C387" s="238" t="s">
        <v>335</v>
      </c>
      <c r="D387" s="240"/>
      <c r="G387" s="237"/>
    </row>
    <row r="388" spans="1:7" ht="27.6">
      <c r="A388" s="245" t="s">
        <v>949</v>
      </c>
      <c r="B388" s="239" t="s">
        <v>950</v>
      </c>
      <c r="C388" s="238" t="s">
        <v>335</v>
      </c>
      <c r="D388" s="240"/>
      <c r="G388" s="237"/>
    </row>
    <row r="389" spans="1:7" ht="27.6">
      <c r="A389" s="245" t="s">
        <v>951</v>
      </c>
      <c r="B389" s="239" t="s">
        <v>952</v>
      </c>
      <c r="C389" s="238" t="s">
        <v>496</v>
      </c>
      <c r="D389" s="240">
        <v>15</v>
      </c>
      <c r="G389" s="237"/>
    </row>
    <row r="390" spans="1:7" ht="27.6">
      <c r="A390" s="245" t="s">
        <v>953</v>
      </c>
      <c r="B390" s="239" t="s">
        <v>954</v>
      </c>
      <c r="C390" s="238" t="s">
        <v>496</v>
      </c>
      <c r="D390" s="240">
        <v>18</v>
      </c>
      <c r="G390" s="237"/>
    </row>
    <row r="391" spans="1:7" ht="27.6">
      <c r="A391" s="245" t="s">
        <v>955</v>
      </c>
      <c r="B391" s="239" t="s">
        <v>956</v>
      </c>
      <c r="C391" s="238" t="s">
        <v>496</v>
      </c>
      <c r="D391" s="240">
        <v>25</v>
      </c>
      <c r="G391" s="237"/>
    </row>
    <row r="392" spans="1:7" ht="27.6">
      <c r="A392" s="245" t="s">
        <v>957</v>
      </c>
      <c r="B392" s="239" t="s">
        <v>958</v>
      </c>
      <c r="C392" s="238" t="s">
        <v>496</v>
      </c>
      <c r="D392" s="240">
        <v>30</v>
      </c>
      <c r="G392" s="237"/>
    </row>
    <row r="393" spans="1:7" ht="41.4">
      <c r="A393" s="245">
        <v>100101</v>
      </c>
      <c r="B393" s="239" t="s">
        <v>959</v>
      </c>
      <c r="C393" s="238" t="s">
        <v>15</v>
      </c>
      <c r="D393" s="240">
        <v>401000</v>
      </c>
      <c r="G393" s="237"/>
    </row>
    <row r="394" spans="1:7" ht="41.4">
      <c r="A394" s="245">
        <v>100102</v>
      </c>
      <c r="B394" s="239" t="s">
        <v>960</v>
      </c>
      <c r="C394" s="238" t="s">
        <v>15</v>
      </c>
      <c r="D394" s="240">
        <v>428000</v>
      </c>
      <c r="G394" s="237"/>
    </row>
    <row r="395" spans="1:7" ht="41.4">
      <c r="A395" s="245">
        <v>100103</v>
      </c>
      <c r="B395" s="239" t="s">
        <v>961</v>
      </c>
      <c r="C395" s="238" t="s">
        <v>15</v>
      </c>
      <c r="D395" s="240">
        <v>458500</v>
      </c>
      <c r="G395" s="237"/>
    </row>
    <row r="396" spans="1:7" ht="41.4">
      <c r="A396" s="245">
        <v>100104</v>
      </c>
      <c r="B396" s="239" t="s">
        <v>962</v>
      </c>
      <c r="C396" s="238" t="s">
        <v>15</v>
      </c>
      <c r="D396" s="240">
        <v>573500</v>
      </c>
      <c r="G396" s="237"/>
    </row>
    <row r="397" spans="1:7" ht="41.4">
      <c r="A397" s="245">
        <v>100105</v>
      </c>
      <c r="B397" s="239" t="s">
        <v>963</v>
      </c>
      <c r="C397" s="238" t="s">
        <v>15</v>
      </c>
      <c r="D397" s="240">
        <v>673500</v>
      </c>
      <c r="G397" s="237"/>
    </row>
    <row r="398" spans="1:7" ht="41.4">
      <c r="A398" s="245">
        <v>100201</v>
      </c>
      <c r="B398" s="239" t="s">
        <v>964</v>
      </c>
      <c r="C398" s="238" t="s">
        <v>15</v>
      </c>
      <c r="D398" s="240">
        <v>360000</v>
      </c>
      <c r="G398" s="237"/>
    </row>
    <row r="399" spans="1:7" ht="41.4">
      <c r="A399" s="245">
        <v>100202</v>
      </c>
      <c r="B399" s="239" t="s">
        <v>965</v>
      </c>
      <c r="C399" s="238" t="s">
        <v>15</v>
      </c>
      <c r="D399" s="240">
        <v>399000</v>
      </c>
      <c r="G399" s="237"/>
    </row>
    <row r="400" spans="1:7" ht="41.4">
      <c r="A400" s="245">
        <v>100203</v>
      </c>
      <c r="B400" s="239" t="s">
        <v>966</v>
      </c>
      <c r="C400" s="238" t="s">
        <v>15</v>
      </c>
      <c r="D400" s="240">
        <v>478000</v>
      </c>
      <c r="G400" s="237"/>
    </row>
    <row r="401" spans="1:7" ht="41.4">
      <c r="A401" s="245">
        <v>100204</v>
      </c>
      <c r="B401" s="239" t="s">
        <v>967</v>
      </c>
      <c r="C401" s="238" t="s">
        <v>15</v>
      </c>
      <c r="D401" s="240">
        <v>556500</v>
      </c>
      <c r="G401" s="237"/>
    </row>
    <row r="402" spans="1:7" ht="41.4">
      <c r="A402" s="245">
        <v>100205</v>
      </c>
      <c r="B402" s="239" t="s">
        <v>968</v>
      </c>
      <c r="C402" s="238" t="s">
        <v>15</v>
      </c>
      <c r="D402" s="240">
        <v>572000</v>
      </c>
      <c r="G402" s="237"/>
    </row>
    <row r="403" spans="1:7" ht="27.6">
      <c r="A403" s="245">
        <v>100301</v>
      </c>
      <c r="B403" s="239" t="s">
        <v>969</v>
      </c>
      <c r="C403" s="238" t="s">
        <v>15</v>
      </c>
      <c r="D403" s="240">
        <v>8730</v>
      </c>
      <c r="G403" s="237"/>
    </row>
    <row r="404" spans="1:7" ht="41.4">
      <c r="A404" s="245">
        <v>100401</v>
      </c>
      <c r="B404" s="239" t="s">
        <v>970</v>
      </c>
      <c r="C404" s="238" t="s">
        <v>15</v>
      </c>
      <c r="D404" s="240">
        <v>344500</v>
      </c>
      <c r="G404" s="237"/>
    </row>
    <row r="405" spans="1:7" ht="41.4">
      <c r="A405" s="245">
        <v>100402</v>
      </c>
      <c r="B405" s="239" t="s">
        <v>971</v>
      </c>
      <c r="C405" s="238" t="s">
        <v>15</v>
      </c>
      <c r="D405" s="240">
        <v>373000</v>
      </c>
      <c r="G405" s="237"/>
    </row>
    <row r="406" spans="1:7" ht="41.4">
      <c r="A406" s="245">
        <v>100403</v>
      </c>
      <c r="B406" s="239" t="s">
        <v>972</v>
      </c>
      <c r="C406" s="238" t="s">
        <v>15</v>
      </c>
      <c r="D406" s="240">
        <v>423000</v>
      </c>
      <c r="G406" s="237"/>
    </row>
    <row r="407" spans="1:7" ht="27.6">
      <c r="A407" s="245">
        <v>100404</v>
      </c>
      <c r="B407" s="239" t="s">
        <v>973</v>
      </c>
      <c r="C407" s="238" t="s">
        <v>15</v>
      </c>
      <c r="D407" s="240">
        <v>40400</v>
      </c>
      <c r="G407" s="237"/>
    </row>
    <row r="408" spans="1:7" ht="27.6">
      <c r="A408" s="245">
        <v>110101</v>
      </c>
      <c r="B408" s="239" t="s">
        <v>974</v>
      </c>
      <c r="C408" s="238" t="s">
        <v>158</v>
      </c>
      <c r="D408" s="240">
        <v>1771000</v>
      </c>
      <c r="G408" s="237"/>
    </row>
    <row r="409" spans="1:7" ht="27.6">
      <c r="A409" s="245">
        <v>110102</v>
      </c>
      <c r="B409" s="239" t="s">
        <v>975</v>
      </c>
      <c r="C409" s="238" t="s">
        <v>158</v>
      </c>
      <c r="D409" s="240">
        <v>1776000</v>
      </c>
      <c r="G409" s="237"/>
    </row>
    <row r="410" spans="1:7" ht="27.6">
      <c r="A410" s="245">
        <v>110103</v>
      </c>
      <c r="B410" s="239" t="s">
        <v>976</v>
      </c>
      <c r="C410" s="238" t="s">
        <v>158</v>
      </c>
      <c r="D410" s="240">
        <v>1738000</v>
      </c>
      <c r="G410" s="237"/>
    </row>
    <row r="411" spans="1:7" ht="27.6">
      <c r="A411" s="245">
        <v>110104</v>
      </c>
      <c r="B411" s="239" t="s">
        <v>977</v>
      </c>
      <c r="C411" s="238" t="s">
        <v>15</v>
      </c>
      <c r="D411" s="240">
        <v>397500</v>
      </c>
      <c r="G411" s="237"/>
    </row>
    <row r="412" spans="1:7" ht="27.6">
      <c r="A412" s="245">
        <v>110105</v>
      </c>
      <c r="B412" s="239" t="s">
        <v>978</v>
      </c>
      <c r="C412" s="238" t="s">
        <v>15</v>
      </c>
      <c r="D412" s="240">
        <v>398500</v>
      </c>
      <c r="G412" s="237"/>
    </row>
    <row r="413" spans="1:7" ht="27.6">
      <c r="A413" s="245">
        <v>110106</v>
      </c>
      <c r="B413" s="239" t="s">
        <v>979</v>
      </c>
      <c r="C413" s="238" t="s">
        <v>15</v>
      </c>
      <c r="D413" s="240">
        <v>391500</v>
      </c>
      <c r="G413" s="237"/>
    </row>
    <row r="414" spans="1:7" ht="27.6">
      <c r="A414" s="245">
        <v>110107</v>
      </c>
      <c r="B414" s="239" t="s">
        <v>980</v>
      </c>
      <c r="C414" s="238" t="s">
        <v>15</v>
      </c>
      <c r="D414" s="240">
        <v>205500</v>
      </c>
      <c r="G414" s="237"/>
    </row>
    <row r="415" spans="1:7" ht="27.6">
      <c r="A415" s="245">
        <v>110108</v>
      </c>
      <c r="B415" s="239" t="s">
        <v>981</v>
      </c>
      <c r="C415" s="238" t="s">
        <v>15</v>
      </c>
      <c r="D415" s="240">
        <v>206000</v>
      </c>
      <c r="G415" s="237"/>
    </row>
    <row r="416" spans="1:7" ht="27.6">
      <c r="A416" s="245">
        <v>110109</v>
      </c>
      <c r="B416" s="239" t="s">
        <v>982</v>
      </c>
      <c r="C416" s="238" t="s">
        <v>15</v>
      </c>
      <c r="D416" s="240">
        <v>204000</v>
      </c>
      <c r="G416" s="237"/>
    </row>
    <row r="417" spans="1:7" ht="27.6">
      <c r="A417" s="245">
        <v>110110</v>
      </c>
      <c r="B417" s="239" t="s">
        <v>983</v>
      </c>
      <c r="C417" s="238" t="s">
        <v>15</v>
      </c>
      <c r="D417" s="240">
        <v>119500</v>
      </c>
      <c r="G417" s="237"/>
    </row>
    <row r="418" spans="1:7" ht="27.6">
      <c r="A418" s="245">
        <v>110201</v>
      </c>
      <c r="B418" s="239" t="s">
        <v>984</v>
      </c>
      <c r="C418" s="238" t="s">
        <v>158</v>
      </c>
      <c r="D418" s="240">
        <v>1597000</v>
      </c>
      <c r="G418" s="237"/>
    </row>
    <row r="419" spans="1:7" ht="27.6">
      <c r="A419" s="245">
        <v>110202</v>
      </c>
      <c r="B419" s="239" t="s">
        <v>985</v>
      </c>
      <c r="C419" s="238" t="s">
        <v>158</v>
      </c>
      <c r="D419" s="240">
        <v>1592000</v>
      </c>
      <c r="G419" s="237"/>
    </row>
    <row r="420" spans="1:7" ht="27.6">
      <c r="A420" s="245">
        <v>110203</v>
      </c>
      <c r="B420" s="239" t="s">
        <v>986</v>
      </c>
      <c r="C420" s="238" t="s">
        <v>158</v>
      </c>
      <c r="D420" s="240">
        <v>1564000</v>
      </c>
      <c r="G420" s="237"/>
    </row>
    <row r="421" spans="1:7" ht="27.6">
      <c r="A421" s="245">
        <v>110204</v>
      </c>
      <c r="B421" s="239" t="s">
        <v>987</v>
      </c>
      <c r="C421" s="238" t="s">
        <v>158</v>
      </c>
      <c r="D421" s="240">
        <v>1497000</v>
      </c>
      <c r="G421" s="237"/>
    </row>
    <row r="422" spans="1:7">
      <c r="A422" s="245">
        <v>110205</v>
      </c>
      <c r="B422" s="239" t="s">
        <v>988</v>
      </c>
      <c r="C422" s="238" t="s">
        <v>15</v>
      </c>
      <c r="D422" s="240">
        <v>359500</v>
      </c>
      <c r="G422" s="237"/>
    </row>
    <row r="423" spans="1:7">
      <c r="A423" s="245">
        <v>110206</v>
      </c>
      <c r="B423" s="239" t="s">
        <v>989</v>
      </c>
      <c r="C423" s="238" t="s">
        <v>15</v>
      </c>
      <c r="D423" s="240">
        <v>360500</v>
      </c>
      <c r="G423" s="237"/>
    </row>
    <row r="424" spans="1:7">
      <c r="A424" s="245">
        <v>110207</v>
      </c>
      <c r="B424" s="239" t="s">
        <v>990</v>
      </c>
      <c r="C424" s="238" t="s">
        <v>15</v>
      </c>
      <c r="D424" s="240">
        <v>353500</v>
      </c>
      <c r="G424" s="237"/>
    </row>
    <row r="425" spans="1:7">
      <c r="A425" s="245">
        <v>110208</v>
      </c>
      <c r="B425" s="239" t="s">
        <v>991</v>
      </c>
      <c r="C425" s="238" t="s">
        <v>15</v>
      </c>
      <c r="D425" s="240">
        <v>186000</v>
      </c>
      <c r="G425" s="237"/>
    </row>
    <row r="426" spans="1:7">
      <c r="A426" s="245">
        <v>110209</v>
      </c>
      <c r="B426" s="239" t="s">
        <v>992</v>
      </c>
      <c r="C426" s="238" t="s">
        <v>15</v>
      </c>
      <c r="D426" s="240">
        <v>186500</v>
      </c>
      <c r="G426" s="237"/>
    </row>
    <row r="427" spans="1:7">
      <c r="A427" s="245">
        <v>110210</v>
      </c>
      <c r="B427" s="239" t="s">
        <v>993</v>
      </c>
      <c r="C427" s="238" t="s">
        <v>15</v>
      </c>
      <c r="D427" s="240">
        <v>183500</v>
      </c>
      <c r="G427" s="237"/>
    </row>
    <row r="428" spans="1:7">
      <c r="A428" s="245">
        <v>110211</v>
      </c>
      <c r="B428" s="239" t="s">
        <v>994</v>
      </c>
      <c r="C428" s="238" t="s">
        <v>15</v>
      </c>
      <c r="D428" s="240">
        <v>187500</v>
      </c>
      <c r="G428" s="237"/>
    </row>
    <row r="429" spans="1:7">
      <c r="A429" s="245">
        <v>110212</v>
      </c>
      <c r="B429" s="239" t="s">
        <v>995</v>
      </c>
      <c r="C429" s="238" t="s">
        <v>15</v>
      </c>
      <c r="D429" s="240">
        <v>108000</v>
      </c>
      <c r="G429" s="237"/>
    </row>
    <row r="430" spans="1:7">
      <c r="A430" s="245">
        <v>110301</v>
      </c>
      <c r="B430" s="239" t="s">
        <v>996</v>
      </c>
      <c r="C430" s="238" t="s">
        <v>15</v>
      </c>
      <c r="D430" s="240">
        <v>109500</v>
      </c>
      <c r="G430" s="237"/>
    </row>
    <row r="431" spans="1:7">
      <c r="A431" s="245">
        <v>110302</v>
      </c>
      <c r="B431" s="239" t="s">
        <v>997</v>
      </c>
      <c r="C431" s="238" t="s">
        <v>15</v>
      </c>
      <c r="D431" s="240">
        <v>5670</v>
      </c>
      <c r="G431" s="237"/>
    </row>
    <row r="432" spans="1:7">
      <c r="A432" s="245">
        <v>110303</v>
      </c>
      <c r="B432" s="239" t="s">
        <v>998</v>
      </c>
      <c r="C432" s="238" t="s">
        <v>15</v>
      </c>
      <c r="D432" s="240">
        <v>6230</v>
      </c>
      <c r="G432" s="237"/>
    </row>
    <row r="433" spans="1:7" ht="27.6">
      <c r="A433" s="245">
        <v>110304</v>
      </c>
      <c r="B433" s="239" t="s">
        <v>999</v>
      </c>
      <c r="C433" s="238" t="s">
        <v>15</v>
      </c>
      <c r="D433" s="240">
        <v>90200</v>
      </c>
      <c r="G433" s="237"/>
    </row>
    <row r="434" spans="1:7" ht="27.6">
      <c r="A434" s="245">
        <v>110401</v>
      </c>
      <c r="B434" s="239" t="s">
        <v>1000</v>
      </c>
      <c r="C434" s="238" t="s">
        <v>158</v>
      </c>
      <c r="D434" s="240">
        <v>1496000</v>
      </c>
      <c r="G434" s="237"/>
    </row>
    <row r="435" spans="1:7" ht="27.6">
      <c r="A435" s="245">
        <v>110402</v>
      </c>
      <c r="B435" s="239" t="s">
        <v>1001</v>
      </c>
      <c r="C435" s="238" t="s">
        <v>158</v>
      </c>
      <c r="D435" s="240">
        <v>1438000</v>
      </c>
      <c r="G435" s="237"/>
    </row>
    <row r="436" spans="1:7" ht="27.6">
      <c r="A436" s="245">
        <v>110403</v>
      </c>
      <c r="B436" s="239" t="s">
        <v>1002</v>
      </c>
      <c r="C436" s="238" t="s">
        <v>158</v>
      </c>
      <c r="D436" s="240">
        <v>1384000</v>
      </c>
      <c r="G436" s="237"/>
    </row>
    <row r="437" spans="1:7" ht="27.6">
      <c r="A437" s="245">
        <v>110501</v>
      </c>
      <c r="B437" s="239" t="s">
        <v>1003</v>
      </c>
      <c r="C437" s="238" t="s">
        <v>158</v>
      </c>
      <c r="D437" s="240">
        <v>1594000</v>
      </c>
      <c r="G437" s="237"/>
    </row>
    <row r="438" spans="1:7" ht="27.6">
      <c r="A438" s="245">
        <v>110502</v>
      </c>
      <c r="B438" s="239" t="s">
        <v>1004</v>
      </c>
      <c r="C438" s="238" t="s">
        <v>15</v>
      </c>
      <c r="D438" s="240">
        <v>358000</v>
      </c>
      <c r="G438" s="237"/>
    </row>
    <row r="439" spans="1:7" ht="27.6">
      <c r="A439" s="245">
        <v>110503</v>
      </c>
      <c r="B439" s="239" t="s">
        <v>1005</v>
      </c>
      <c r="C439" s="238" t="s">
        <v>15</v>
      </c>
      <c r="D439" s="240">
        <v>185500</v>
      </c>
      <c r="G439" s="237"/>
    </row>
    <row r="440" spans="1:7" ht="27.6">
      <c r="A440" s="245">
        <v>110504</v>
      </c>
      <c r="B440" s="239" t="s">
        <v>1006</v>
      </c>
      <c r="C440" s="238" t="s">
        <v>15</v>
      </c>
      <c r="D440" s="240">
        <v>108000</v>
      </c>
      <c r="G440" s="237"/>
    </row>
    <row r="441" spans="1:7" ht="27.6">
      <c r="A441" s="245">
        <v>110601</v>
      </c>
      <c r="B441" s="239" t="s">
        <v>1007</v>
      </c>
      <c r="C441" s="238" t="s">
        <v>15</v>
      </c>
      <c r="D441" s="240">
        <v>482000</v>
      </c>
      <c r="G441" s="237"/>
    </row>
    <row r="442" spans="1:7" ht="27.6">
      <c r="A442" s="245">
        <v>110602</v>
      </c>
      <c r="B442" s="239" t="s">
        <v>1008</v>
      </c>
      <c r="C442" s="238" t="s">
        <v>15</v>
      </c>
      <c r="D442" s="240">
        <v>562000</v>
      </c>
      <c r="G442" s="237"/>
    </row>
    <row r="443" spans="1:7" ht="27.6">
      <c r="A443" s="245">
        <v>110603</v>
      </c>
      <c r="B443" s="239" t="s">
        <v>1009</v>
      </c>
      <c r="C443" s="238" t="s">
        <v>15</v>
      </c>
      <c r="D443" s="240">
        <v>680500</v>
      </c>
      <c r="G443" s="237"/>
    </row>
    <row r="444" spans="1:7" ht="27.6">
      <c r="A444" s="245">
        <v>110701</v>
      </c>
      <c r="B444" s="239" t="s">
        <v>1010</v>
      </c>
      <c r="C444" s="238" t="s">
        <v>15</v>
      </c>
      <c r="D444" s="240">
        <v>544000</v>
      </c>
      <c r="G444" s="237"/>
    </row>
    <row r="445" spans="1:7" ht="27.6">
      <c r="A445" s="245">
        <v>110702</v>
      </c>
      <c r="B445" s="239" t="s">
        <v>1011</v>
      </c>
      <c r="C445" s="238" t="s">
        <v>15</v>
      </c>
      <c r="D445" s="240">
        <v>698000</v>
      </c>
      <c r="G445" s="237"/>
    </row>
    <row r="446" spans="1:7" ht="27.6">
      <c r="A446" s="245">
        <v>110703</v>
      </c>
      <c r="B446" s="239" t="s">
        <v>1012</v>
      </c>
      <c r="C446" s="238" t="s">
        <v>15</v>
      </c>
      <c r="D446" s="240">
        <v>844000</v>
      </c>
      <c r="G446" s="237"/>
    </row>
    <row r="447" spans="1:7" ht="27.6">
      <c r="A447" s="245">
        <v>110801</v>
      </c>
      <c r="B447" s="239" t="s">
        <v>1013</v>
      </c>
      <c r="C447" s="238" t="s">
        <v>15</v>
      </c>
      <c r="D447" s="240">
        <v>116500</v>
      </c>
      <c r="G447" s="237"/>
    </row>
    <row r="448" spans="1:7" ht="41.4">
      <c r="A448" s="245">
        <v>110802</v>
      </c>
      <c r="B448" s="239" t="s">
        <v>1014</v>
      </c>
      <c r="C448" s="238" t="s">
        <v>15</v>
      </c>
      <c r="D448" s="240">
        <v>111000</v>
      </c>
      <c r="G448" s="237"/>
    </row>
    <row r="449" spans="1:7" ht="41.4">
      <c r="A449" s="245">
        <v>110803</v>
      </c>
      <c r="B449" s="239" t="s">
        <v>1015</v>
      </c>
      <c r="C449" s="238" t="s">
        <v>15</v>
      </c>
      <c r="D449" s="240">
        <v>81500</v>
      </c>
      <c r="G449" s="237"/>
    </row>
    <row r="450" spans="1:7" ht="27.6">
      <c r="A450" s="245">
        <v>110804</v>
      </c>
      <c r="B450" s="239" t="s">
        <v>1016</v>
      </c>
      <c r="C450" s="238" t="s">
        <v>15</v>
      </c>
      <c r="D450" s="240">
        <v>238500</v>
      </c>
      <c r="G450" s="237"/>
    </row>
    <row r="451" spans="1:7" ht="27.6">
      <c r="A451" s="245">
        <v>110805</v>
      </c>
      <c r="B451" s="239" t="s">
        <v>1017</v>
      </c>
      <c r="C451" s="238" t="s">
        <v>15</v>
      </c>
      <c r="D451" s="240">
        <v>215000</v>
      </c>
      <c r="G451" s="237"/>
    </row>
    <row r="452" spans="1:7">
      <c r="A452" s="245">
        <v>110806</v>
      </c>
      <c r="B452" s="239" t="s">
        <v>1018</v>
      </c>
      <c r="C452" s="238" t="s">
        <v>15</v>
      </c>
      <c r="D452" s="240">
        <v>137500</v>
      </c>
      <c r="G452" s="237"/>
    </row>
    <row r="453" spans="1:7">
      <c r="A453" s="245">
        <v>110807</v>
      </c>
      <c r="B453" s="239" t="s">
        <v>1019</v>
      </c>
      <c r="C453" s="238" t="s">
        <v>15</v>
      </c>
      <c r="D453" s="240">
        <v>107500</v>
      </c>
      <c r="G453" s="237"/>
    </row>
    <row r="454" spans="1:7" ht="27.6">
      <c r="A454" s="245">
        <v>110808</v>
      </c>
      <c r="B454" s="239" t="s">
        <v>1020</v>
      </c>
      <c r="C454" s="238" t="s">
        <v>15</v>
      </c>
      <c r="D454" s="240">
        <v>208000</v>
      </c>
      <c r="G454" s="237"/>
    </row>
    <row r="455" spans="1:7" ht="27.6">
      <c r="A455" s="245">
        <v>110809</v>
      </c>
      <c r="B455" s="239" t="s">
        <v>1021</v>
      </c>
      <c r="C455" s="238" t="s">
        <v>15</v>
      </c>
      <c r="D455" s="240">
        <v>19700</v>
      </c>
      <c r="G455" s="237"/>
    </row>
    <row r="456" spans="1:7" ht="27.6">
      <c r="A456" s="245">
        <v>110810</v>
      </c>
      <c r="B456" s="239" t="s">
        <v>1022</v>
      </c>
      <c r="C456" s="238" t="s">
        <v>158</v>
      </c>
      <c r="D456" s="240">
        <v>175500</v>
      </c>
      <c r="G456" s="237"/>
    </row>
    <row r="457" spans="1:7" ht="27.6">
      <c r="A457" s="245">
        <v>110811</v>
      </c>
      <c r="B457" s="239" t="s">
        <v>1023</v>
      </c>
      <c r="C457" s="238" t="s">
        <v>158</v>
      </c>
      <c r="D457" s="240">
        <v>927000</v>
      </c>
      <c r="G457" s="237"/>
    </row>
    <row r="458" spans="1:7">
      <c r="A458" s="245">
        <v>110901</v>
      </c>
      <c r="B458" s="239" t="s">
        <v>1024</v>
      </c>
      <c r="C458" s="238" t="s">
        <v>158</v>
      </c>
      <c r="D458" s="240">
        <v>318500</v>
      </c>
      <c r="G458" s="237"/>
    </row>
    <row r="459" spans="1:7" ht="27.6">
      <c r="A459" s="245">
        <v>110902</v>
      </c>
      <c r="B459" s="239" t="s">
        <v>1025</v>
      </c>
      <c r="C459" s="238" t="s">
        <v>158</v>
      </c>
      <c r="D459" s="240">
        <v>472000</v>
      </c>
      <c r="G459" s="237"/>
    </row>
    <row r="460" spans="1:7" ht="27.6">
      <c r="A460" s="245">
        <v>110903</v>
      </c>
      <c r="B460" s="239" t="s">
        <v>1026</v>
      </c>
      <c r="C460" s="238" t="s">
        <v>158</v>
      </c>
      <c r="D460" s="240">
        <v>26500</v>
      </c>
      <c r="G460" s="237"/>
    </row>
    <row r="461" spans="1:7" ht="27.6">
      <c r="A461" s="245">
        <v>110904</v>
      </c>
      <c r="B461" s="239" t="s">
        <v>1027</v>
      </c>
      <c r="C461" s="238" t="s">
        <v>158</v>
      </c>
      <c r="D461" s="240">
        <v>34200</v>
      </c>
      <c r="G461" s="237"/>
    </row>
    <row r="462" spans="1:7" ht="41.4">
      <c r="A462" s="245">
        <v>110905</v>
      </c>
      <c r="B462" s="239" t="s">
        <v>1028</v>
      </c>
      <c r="C462" s="238" t="s">
        <v>158</v>
      </c>
      <c r="D462" s="242">
        <v>-34200</v>
      </c>
      <c r="G462" s="237"/>
    </row>
    <row r="463" spans="1:7" ht="27.6">
      <c r="A463" s="245">
        <v>111001</v>
      </c>
      <c r="B463" s="239" t="s">
        <v>1029</v>
      </c>
      <c r="C463" s="238" t="s">
        <v>15</v>
      </c>
      <c r="D463" s="240">
        <v>502500</v>
      </c>
      <c r="G463" s="237"/>
    </row>
    <row r="464" spans="1:7" ht="27.6">
      <c r="A464" s="245">
        <v>111002</v>
      </c>
      <c r="B464" s="239" t="s">
        <v>1030</v>
      </c>
      <c r="C464" s="238" t="s">
        <v>15</v>
      </c>
      <c r="D464" s="240">
        <v>546500</v>
      </c>
      <c r="G464" s="237"/>
    </row>
    <row r="465" spans="1:7" ht="27.6">
      <c r="A465" s="245">
        <v>120101</v>
      </c>
      <c r="B465" s="239" t="s">
        <v>1031</v>
      </c>
      <c r="C465" s="238" t="s">
        <v>158</v>
      </c>
      <c r="D465" s="240">
        <v>2647000</v>
      </c>
      <c r="G465" s="237"/>
    </row>
    <row r="466" spans="1:7" ht="41.4">
      <c r="A466" s="245">
        <v>120102</v>
      </c>
      <c r="B466" s="239" t="s">
        <v>1032</v>
      </c>
      <c r="C466" s="238" t="s">
        <v>158</v>
      </c>
      <c r="D466" s="240">
        <v>2274000</v>
      </c>
      <c r="G466" s="237"/>
    </row>
    <row r="467" spans="1:7" ht="41.4">
      <c r="A467" s="245">
        <v>120103</v>
      </c>
      <c r="B467" s="239" t="s">
        <v>1033</v>
      </c>
      <c r="C467" s="238" t="s">
        <v>158</v>
      </c>
      <c r="D467" s="240">
        <v>1824000</v>
      </c>
      <c r="G467" s="237"/>
    </row>
    <row r="468" spans="1:7" ht="41.4">
      <c r="A468" s="245">
        <v>120104</v>
      </c>
      <c r="B468" s="239" t="s">
        <v>1034</v>
      </c>
      <c r="C468" s="238" t="s">
        <v>158</v>
      </c>
      <c r="D468" s="240">
        <v>2136000</v>
      </c>
      <c r="G468" s="237"/>
    </row>
    <row r="469" spans="1:7" ht="41.4">
      <c r="A469" s="245">
        <v>120105</v>
      </c>
      <c r="B469" s="239" t="s">
        <v>1035</v>
      </c>
      <c r="C469" s="238" t="s">
        <v>158</v>
      </c>
      <c r="D469" s="240">
        <v>1993000</v>
      </c>
      <c r="G469" s="237"/>
    </row>
    <row r="470" spans="1:7" ht="41.4">
      <c r="A470" s="245">
        <v>120201</v>
      </c>
      <c r="B470" s="239" t="s">
        <v>1036</v>
      </c>
      <c r="C470" s="238" t="s">
        <v>158</v>
      </c>
      <c r="D470" s="240">
        <v>2410000</v>
      </c>
      <c r="G470" s="237"/>
    </row>
    <row r="471" spans="1:7" ht="27.6">
      <c r="A471" s="245">
        <v>120202</v>
      </c>
      <c r="B471" s="239" t="s">
        <v>1037</v>
      </c>
      <c r="C471" s="238" t="s">
        <v>158</v>
      </c>
      <c r="D471" s="240">
        <v>2478000</v>
      </c>
      <c r="G471" s="237"/>
    </row>
    <row r="472" spans="1:7" ht="27.6">
      <c r="A472" s="245">
        <v>120203</v>
      </c>
      <c r="B472" s="239" t="s">
        <v>1038</v>
      </c>
      <c r="C472" s="238" t="s">
        <v>158</v>
      </c>
      <c r="D472" s="240">
        <v>4070000</v>
      </c>
      <c r="G472" s="237"/>
    </row>
    <row r="473" spans="1:7" ht="27.6">
      <c r="A473" s="245">
        <v>120204</v>
      </c>
      <c r="B473" s="239" t="s">
        <v>1039</v>
      </c>
      <c r="C473" s="238" t="s">
        <v>158</v>
      </c>
      <c r="D473" s="240">
        <v>3538000</v>
      </c>
      <c r="G473" s="237"/>
    </row>
    <row r="474" spans="1:7" ht="27.6">
      <c r="A474" s="245">
        <v>120301</v>
      </c>
      <c r="B474" s="239" t="s">
        <v>1040</v>
      </c>
      <c r="C474" s="238" t="s">
        <v>242</v>
      </c>
      <c r="D474" s="240">
        <v>113500</v>
      </c>
      <c r="G474" s="237"/>
    </row>
    <row r="475" spans="1:7" ht="27.6">
      <c r="A475" s="245">
        <v>120302</v>
      </c>
      <c r="B475" s="239" t="s">
        <v>1041</v>
      </c>
      <c r="C475" s="238" t="s">
        <v>242</v>
      </c>
      <c r="D475" s="240">
        <v>119500</v>
      </c>
      <c r="G475" s="237"/>
    </row>
    <row r="476" spans="1:7" ht="27.6">
      <c r="A476" s="245">
        <v>120303</v>
      </c>
      <c r="B476" s="239" t="s">
        <v>1042</v>
      </c>
      <c r="C476" s="238" t="s">
        <v>242</v>
      </c>
      <c r="D476" s="240">
        <v>155500</v>
      </c>
      <c r="G476" s="237"/>
    </row>
    <row r="477" spans="1:7" ht="27.6">
      <c r="A477" s="245">
        <v>120304</v>
      </c>
      <c r="B477" s="239" t="s">
        <v>1043</v>
      </c>
      <c r="C477" s="238" t="s">
        <v>242</v>
      </c>
      <c r="D477" s="240">
        <v>180000</v>
      </c>
      <c r="G477" s="237"/>
    </row>
    <row r="478" spans="1:7" ht="27.6">
      <c r="A478" s="245">
        <v>120305</v>
      </c>
      <c r="B478" s="239" t="s">
        <v>1044</v>
      </c>
      <c r="C478" s="238" t="s">
        <v>242</v>
      </c>
      <c r="D478" s="240">
        <v>267000</v>
      </c>
      <c r="G478" s="237"/>
    </row>
    <row r="479" spans="1:7" ht="27.6">
      <c r="A479" s="245">
        <v>120306</v>
      </c>
      <c r="B479" s="239" t="s">
        <v>1045</v>
      </c>
      <c r="C479" s="238" t="s">
        <v>242</v>
      </c>
      <c r="D479" s="240">
        <v>341500</v>
      </c>
      <c r="G479" s="237"/>
    </row>
    <row r="480" spans="1:7" ht="27.6">
      <c r="A480" s="245">
        <v>120307</v>
      </c>
      <c r="B480" s="239" t="s">
        <v>1046</v>
      </c>
      <c r="C480" s="238" t="s">
        <v>242</v>
      </c>
      <c r="D480" s="240">
        <v>448000</v>
      </c>
      <c r="G480" s="237"/>
    </row>
    <row r="481" spans="1:7" ht="27.6">
      <c r="A481" s="245">
        <v>120308</v>
      </c>
      <c r="B481" s="239" t="s">
        <v>1047</v>
      </c>
      <c r="C481" s="238" t="s">
        <v>242</v>
      </c>
      <c r="D481" s="240">
        <v>530500</v>
      </c>
      <c r="G481" s="237"/>
    </row>
    <row r="482" spans="1:7" ht="27.6">
      <c r="A482" s="245">
        <v>120309</v>
      </c>
      <c r="B482" s="239" t="s">
        <v>1048</v>
      </c>
      <c r="C482" s="238" t="s">
        <v>242</v>
      </c>
      <c r="D482" s="240">
        <v>455500</v>
      </c>
      <c r="G482" s="237"/>
    </row>
    <row r="483" spans="1:7" ht="27.6">
      <c r="A483" s="245">
        <v>120310</v>
      </c>
      <c r="B483" s="239" t="s">
        <v>1049</v>
      </c>
      <c r="C483" s="238" t="s">
        <v>242</v>
      </c>
      <c r="D483" s="240">
        <v>609500</v>
      </c>
      <c r="G483" s="237"/>
    </row>
    <row r="484" spans="1:7" ht="27.6">
      <c r="A484" s="245">
        <v>120311</v>
      </c>
      <c r="B484" s="239" t="s">
        <v>1050</v>
      </c>
      <c r="C484" s="238" t="s">
        <v>242</v>
      </c>
      <c r="D484" s="240">
        <v>718500</v>
      </c>
      <c r="G484" s="237"/>
    </row>
    <row r="485" spans="1:7" ht="55.2">
      <c r="A485" s="245">
        <v>120401</v>
      </c>
      <c r="B485" s="239" t="s">
        <v>1051</v>
      </c>
      <c r="C485" s="238" t="s">
        <v>242</v>
      </c>
      <c r="D485" s="240">
        <v>1530000</v>
      </c>
      <c r="G485" s="237"/>
    </row>
    <row r="486" spans="1:7">
      <c r="A486" s="245">
        <v>120501</v>
      </c>
      <c r="B486" s="239" t="s">
        <v>1052</v>
      </c>
      <c r="C486" s="238" t="s">
        <v>158</v>
      </c>
      <c r="D486" s="240">
        <v>1155000</v>
      </c>
      <c r="G486" s="237"/>
    </row>
    <row r="487" spans="1:7">
      <c r="A487" s="245">
        <v>120502</v>
      </c>
      <c r="B487" s="239" t="s">
        <v>1053</v>
      </c>
      <c r="C487" s="238" t="s">
        <v>158</v>
      </c>
      <c r="D487" s="240">
        <v>1228000</v>
      </c>
      <c r="G487" s="237"/>
    </row>
    <row r="488" spans="1:7" ht="27.6">
      <c r="A488" s="245">
        <v>120503</v>
      </c>
      <c r="B488" s="239" t="s">
        <v>1054</v>
      </c>
      <c r="C488" s="238" t="s">
        <v>15</v>
      </c>
      <c r="D488" s="240">
        <v>246000</v>
      </c>
      <c r="G488" s="237"/>
    </row>
    <row r="489" spans="1:7" ht="27.6">
      <c r="A489" s="245">
        <v>120504</v>
      </c>
      <c r="B489" s="239" t="s">
        <v>1055</v>
      </c>
      <c r="C489" s="238" t="s">
        <v>15</v>
      </c>
      <c r="D489" s="240">
        <v>269500</v>
      </c>
      <c r="G489" s="237"/>
    </row>
    <row r="490" spans="1:7" ht="27.6">
      <c r="A490" s="245">
        <v>120505</v>
      </c>
      <c r="B490" s="239" t="s">
        <v>1056</v>
      </c>
      <c r="C490" s="238" t="s">
        <v>15</v>
      </c>
      <c r="D490" s="240">
        <v>151000</v>
      </c>
      <c r="G490" s="237"/>
    </row>
    <row r="491" spans="1:7" ht="27.6">
      <c r="A491" s="245">
        <v>120506</v>
      </c>
      <c r="B491" s="239" t="s">
        <v>1057</v>
      </c>
      <c r="C491" s="238" t="s">
        <v>15</v>
      </c>
      <c r="D491" s="240">
        <v>157500</v>
      </c>
      <c r="G491" s="237"/>
    </row>
    <row r="492" spans="1:7" ht="27.6">
      <c r="A492" s="245">
        <v>120507</v>
      </c>
      <c r="B492" s="239" t="s">
        <v>1058</v>
      </c>
      <c r="C492" s="238" t="s">
        <v>158</v>
      </c>
      <c r="D492" s="240">
        <v>20500</v>
      </c>
      <c r="G492" s="237"/>
    </row>
    <row r="493" spans="1:7" ht="27.6">
      <c r="A493" s="245">
        <v>120601</v>
      </c>
      <c r="B493" s="239" t="s">
        <v>1059</v>
      </c>
      <c r="C493" s="238" t="s">
        <v>158</v>
      </c>
      <c r="D493" s="240">
        <v>2261000</v>
      </c>
      <c r="G493" s="237"/>
    </row>
    <row r="494" spans="1:7" ht="27.6">
      <c r="A494" s="245">
        <v>120602</v>
      </c>
      <c r="B494" s="239" t="s">
        <v>1060</v>
      </c>
      <c r="C494" s="238" t="s">
        <v>15</v>
      </c>
      <c r="D494" s="240">
        <v>502500</v>
      </c>
      <c r="G494" s="237"/>
    </row>
    <row r="495" spans="1:7" ht="27.6">
      <c r="A495" s="245">
        <v>120603</v>
      </c>
      <c r="B495" s="239" t="s">
        <v>1061</v>
      </c>
      <c r="C495" s="238" t="s">
        <v>15</v>
      </c>
      <c r="D495" s="240">
        <v>259500</v>
      </c>
      <c r="G495" s="237"/>
    </row>
    <row r="496" spans="1:7" ht="27.6">
      <c r="A496" s="245">
        <v>120701</v>
      </c>
      <c r="B496" s="239" t="s">
        <v>1062</v>
      </c>
      <c r="C496" s="238" t="s">
        <v>158</v>
      </c>
      <c r="D496" s="240">
        <v>619000</v>
      </c>
      <c r="G496" s="237"/>
    </row>
    <row r="497" spans="1:7" ht="27.6">
      <c r="A497" s="245">
        <v>120702</v>
      </c>
      <c r="B497" s="239" t="s">
        <v>1063</v>
      </c>
      <c r="C497" s="238" t="s">
        <v>158</v>
      </c>
      <c r="D497" s="240">
        <v>122000</v>
      </c>
      <c r="G497" s="237"/>
    </row>
    <row r="498" spans="1:7">
      <c r="A498" s="245">
        <v>120703</v>
      </c>
      <c r="B498" s="239" t="s">
        <v>1064</v>
      </c>
      <c r="C498" s="238" t="s">
        <v>15</v>
      </c>
      <c r="D498" s="240">
        <v>53300</v>
      </c>
      <c r="G498" s="237"/>
    </row>
    <row r="499" spans="1:7">
      <c r="A499" s="245">
        <v>120704</v>
      </c>
      <c r="B499" s="239" t="s">
        <v>1065</v>
      </c>
      <c r="C499" s="238" t="s">
        <v>15</v>
      </c>
      <c r="D499" s="240">
        <v>121500</v>
      </c>
      <c r="G499" s="237"/>
    </row>
    <row r="500" spans="1:7" ht="27.6">
      <c r="A500" s="245">
        <v>120801</v>
      </c>
      <c r="B500" s="239" t="s">
        <v>1066</v>
      </c>
      <c r="C500" s="238" t="s">
        <v>15</v>
      </c>
      <c r="D500" s="240">
        <v>199000</v>
      </c>
      <c r="G500" s="237"/>
    </row>
    <row r="501" spans="1:7" ht="41.4">
      <c r="A501" s="245">
        <v>120802</v>
      </c>
      <c r="B501" s="239" t="s">
        <v>1067</v>
      </c>
      <c r="C501" s="238" t="s">
        <v>15</v>
      </c>
      <c r="D501" s="240">
        <v>276000</v>
      </c>
      <c r="G501" s="237"/>
    </row>
    <row r="502" spans="1:7" ht="41.4">
      <c r="A502" s="245">
        <v>120803</v>
      </c>
      <c r="B502" s="239" t="s">
        <v>1068</v>
      </c>
      <c r="C502" s="238" t="s">
        <v>15</v>
      </c>
      <c r="D502" s="240">
        <v>324500</v>
      </c>
      <c r="G502" s="237"/>
    </row>
    <row r="503" spans="1:7" ht="41.4">
      <c r="A503" s="245">
        <v>120804</v>
      </c>
      <c r="B503" s="239" t="s">
        <v>1069</v>
      </c>
      <c r="C503" s="238" t="s">
        <v>15</v>
      </c>
      <c r="D503" s="240">
        <v>378500</v>
      </c>
      <c r="G503" s="237"/>
    </row>
    <row r="504" spans="1:7" ht="41.4">
      <c r="A504" s="245">
        <v>120805</v>
      </c>
      <c r="B504" s="239" t="s">
        <v>1070</v>
      </c>
      <c r="C504" s="238" t="s">
        <v>15</v>
      </c>
      <c r="D504" s="240">
        <v>437500</v>
      </c>
      <c r="G504" s="237"/>
    </row>
    <row r="505" spans="1:7" ht="41.4">
      <c r="A505" s="245">
        <v>120901</v>
      </c>
      <c r="B505" s="239" t="s">
        <v>1071</v>
      </c>
      <c r="C505" s="238" t="s">
        <v>15</v>
      </c>
      <c r="D505" s="240">
        <v>252500</v>
      </c>
      <c r="G505" s="237"/>
    </row>
    <row r="506" spans="1:7" ht="41.4">
      <c r="A506" s="245">
        <v>120902</v>
      </c>
      <c r="B506" s="239" t="s">
        <v>1072</v>
      </c>
      <c r="C506" s="238" t="s">
        <v>15</v>
      </c>
      <c r="D506" s="240">
        <v>259000</v>
      </c>
      <c r="G506" s="237"/>
    </row>
    <row r="507" spans="1:7" ht="41.4">
      <c r="A507" s="245">
        <v>120903</v>
      </c>
      <c r="B507" s="239" t="s">
        <v>1073</v>
      </c>
      <c r="C507" s="238" t="s">
        <v>15</v>
      </c>
      <c r="D507" s="240">
        <v>247500</v>
      </c>
      <c r="G507" s="237"/>
    </row>
    <row r="508" spans="1:7" ht="41.4">
      <c r="A508" s="245">
        <v>120904</v>
      </c>
      <c r="B508" s="239" t="s">
        <v>1074</v>
      </c>
      <c r="C508" s="238" t="s">
        <v>15</v>
      </c>
      <c r="D508" s="240">
        <v>254000</v>
      </c>
      <c r="G508" s="237"/>
    </row>
    <row r="509" spans="1:7">
      <c r="A509" s="245">
        <v>120905</v>
      </c>
      <c r="B509" s="239" t="s">
        <v>1075</v>
      </c>
      <c r="C509" s="238" t="s">
        <v>15</v>
      </c>
      <c r="D509" s="240">
        <v>39100</v>
      </c>
      <c r="G509" s="237"/>
    </row>
    <row r="510" spans="1:7">
      <c r="A510" s="245">
        <v>120906</v>
      </c>
      <c r="B510" s="239" t="s">
        <v>1076</v>
      </c>
      <c r="C510" s="238" t="s">
        <v>15</v>
      </c>
      <c r="D510" s="240">
        <v>19600</v>
      </c>
      <c r="G510" s="237"/>
    </row>
    <row r="511" spans="1:7" ht="27.6">
      <c r="A511" s="245">
        <v>121001</v>
      </c>
      <c r="B511" s="239" t="s">
        <v>1077</v>
      </c>
      <c r="C511" s="238" t="s">
        <v>15</v>
      </c>
      <c r="D511" s="240">
        <v>186000</v>
      </c>
      <c r="G511" s="237"/>
    </row>
    <row r="512" spans="1:7" ht="27.6">
      <c r="A512" s="245">
        <v>121002</v>
      </c>
      <c r="B512" s="239" t="s">
        <v>1078</v>
      </c>
      <c r="C512" s="238" t="s">
        <v>15</v>
      </c>
      <c r="D512" s="240">
        <v>273500</v>
      </c>
      <c r="G512" s="237"/>
    </row>
    <row r="513" spans="1:7" ht="27.6">
      <c r="A513" s="245">
        <v>121003</v>
      </c>
      <c r="B513" s="239" t="s">
        <v>1079</v>
      </c>
      <c r="C513" s="238" t="s">
        <v>15</v>
      </c>
      <c r="D513" s="240">
        <v>366500</v>
      </c>
      <c r="G513" s="237"/>
    </row>
    <row r="514" spans="1:7" ht="27.6">
      <c r="A514" s="245">
        <v>121004</v>
      </c>
      <c r="B514" s="239" t="s">
        <v>1080</v>
      </c>
      <c r="C514" s="238" t="s">
        <v>15</v>
      </c>
      <c r="D514" s="240">
        <v>34500</v>
      </c>
      <c r="G514" s="237"/>
    </row>
    <row r="515" spans="1:7" ht="27.6">
      <c r="A515" s="245">
        <v>121005</v>
      </c>
      <c r="B515" s="239" t="s">
        <v>1081</v>
      </c>
      <c r="C515" s="238" t="s">
        <v>15</v>
      </c>
      <c r="D515" s="240">
        <v>17200</v>
      </c>
      <c r="G515" s="237"/>
    </row>
    <row r="516" spans="1:7">
      <c r="A516" s="245">
        <v>130101</v>
      </c>
      <c r="B516" s="239" t="s">
        <v>1082</v>
      </c>
      <c r="C516" s="238" t="s">
        <v>15</v>
      </c>
      <c r="D516" s="240">
        <v>22200</v>
      </c>
      <c r="G516" s="237"/>
    </row>
    <row r="517" spans="1:7" ht="27.6">
      <c r="A517" s="245">
        <v>130102</v>
      </c>
      <c r="B517" s="239" t="s">
        <v>1083</v>
      </c>
      <c r="C517" s="238" t="s">
        <v>15</v>
      </c>
      <c r="D517" s="240">
        <v>79400</v>
      </c>
      <c r="G517" s="237"/>
    </row>
    <row r="518" spans="1:7" ht="27.6">
      <c r="A518" s="245">
        <v>130201</v>
      </c>
      <c r="B518" s="239" t="s">
        <v>1084</v>
      </c>
      <c r="C518" s="238" t="s">
        <v>15</v>
      </c>
      <c r="D518" s="240">
        <v>85900</v>
      </c>
      <c r="G518" s="237"/>
    </row>
    <row r="519" spans="1:7" ht="27.6">
      <c r="A519" s="245">
        <v>130202</v>
      </c>
      <c r="B519" s="239" t="s">
        <v>1085</v>
      </c>
      <c r="C519" s="238" t="s">
        <v>15</v>
      </c>
      <c r="D519" s="240">
        <v>77100</v>
      </c>
      <c r="G519" s="237"/>
    </row>
    <row r="520" spans="1:7" ht="27.6">
      <c r="A520" s="245">
        <v>130203</v>
      </c>
      <c r="B520" s="239" t="s">
        <v>1086</v>
      </c>
      <c r="C520" s="238" t="s">
        <v>15</v>
      </c>
      <c r="D520" s="240">
        <v>142500</v>
      </c>
      <c r="G520" s="237"/>
    </row>
    <row r="521" spans="1:7" ht="27.6">
      <c r="A521" s="245">
        <v>130204</v>
      </c>
      <c r="B521" s="239" t="s">
        <v>1087</v>
      </c>
      <c r="C521" s="238" t="s">
        <v>15</v>
      </c>
      <c r="D521" s="240">
        <v>127500</v>
      </c>
      <c r="G521" s="237"/>
    </row>
    <row r="522" spans="1:7" ht="27.6">
      <c r="A522" s="245">
        <v>130205</v>
      </c>
      <c r="B522" s="239" t="s">
        <v>1088</v>
      </c>
      <c r="C522" s="238" t="s">
        <v>15</v>
      </c>
      <c r="D522" s="240">
        <v>204500</v>
      </c>
      <c r="G522" s="237"/>
    </row>
    <row r="523" spans="1:7" ht="27.6">
      <c r="A523" s="245">
        <v>130206</v>
      </c>
      <c r="B523" s="239" t="s">
        <v>1089</v>
      </c>
      <c r="C523" s="238" t="s">
        <v>15</v>
      </c>
      <c r="D523" s="240">
        <v>193500</v>
      </c>
      <c r="G523" s="237"/>
    </row>
    <row r="524" spans="1:7" ht="41.4">
      <c r="A524" s="245">
        <v>130301</v>
      </c>
      <c r="B524" s="239" t="s">
        <v>1090</v>
      </c>
      <c r="C524" s="238" t="s">
        <v>15</v>
      </c>
      <c r="D524" s="240">
        <v>105500</v>
      </c>
      <c r="G524" s="237"/>
    </row>
    <row r="525" spans="1:7" ht="41.4">
      <c r="A525" s="245">
        <v>130302</v>
      </c>
      <c r="B525" s="239" t="s">
        <v>1091</v>
      </c>
      <c r="C525" s="238" t="s">
        <v>15</v>
      </c>
      <c r="D525" s="240">
        <v>95300</v>
      </c>
      <c r="G525" s="237"/>
    </row>
    <row r="526" spans="1:7" ht="41.4">
      <c r="A526" s="245">
        <v>130303</v>
      </c>
      <c r="B526" s="239" t="s">
        <v>1092</v>
      </c>
      <c r="C526" s="238" t="s">
        <v>15</v>
      </c>
      <c r="D526" s="240">
        <v>107000</v>
      </c>
      <c r="G526" s="237"/>
    </row>
    <row r="527" spans="1:7" ht="41.4">
      <c r="A527" s="245">
        <v>130304</v>
      </c>
      <c r="B527" s="239" t="s">
        <v>1093</v>
      </c>
      <c r="C527" s="238" t="s">
        <v>15</v>
      </c>
      <c r="D527" s="240">
        <v>96500</v>
      </c>
      <c r="G527" s="237"/>
    </row>
    <row r="528" spans="1:7" ht="41.4">
      <c r="A528" s="245">
        <v>130305</v>
      </c>
      <c r="B528" s="239" t="s">
        <v>1094</v>
      </c>
      <c r="C528" s="238" t="s">
        <v>15</v>
      </c>
      <c r="D528" s="240">
        <v>5280</v>
      </c>
      <c r="G528" s="237"/>
    </row>
    <row r="529" spans="1:7" ht="41.4">
      <c r="A529" s="245">
        <v>130401</v>
      </c>
      <c r="B529" s="239" t="s">
        <v>1095</v>
      </c>
      <c r="C529" s="238" t="s">
        <v>15</v>
      </c>
      <c r="D529" s="240">
        <v>5620</v>
      </c>
      <c r="G529" s="237"/>
    </row>
    <row r="530" spans="1:7" ht="27.6">
      <c r="A530" s="245">
        <v>140101</v>
      </c>
      <c r="B530" s="239" t="s">
        <v>1096</v>
      </c>
      <c r="C530" s="238" t="s">
        <v>15</v>
      </c>
      <c r="D530" s="240">
        <v>28100</v>
      </c>
      <c r="G530" s="237"/>
    </row>
    <row r="531" spans="1:7" ht="27.6">
      <c r="A531" s="245">
        <v>140102</v>
      </c>
      <c r="B531" s="239" t="s">
        <v>1097</v>
      </c>
      <c r="C531" s="238" t="s">
        <v>15</v>
      </c>
      <c r="D531" s="240">
        <v>32200</v>
      </c>
      <c r="G531" s="237"/>
    </row>
    <row r="532" spans="1:7" ht="27.6">
      <c r="A532" s="245">
        <v>140103</v>
      </c>
      <c r="B532" s="239" t="s">
        <v>1098</v>
      </c>
      <c r="C532" s="238" t="s">
        <v>15</v>
      </c>
      <c r="D532" s="240">
        <v>24900</v>
      </c>
      <c r="G532" s="237"/>
    </row>
    <row r="533" spans="1:7" ht="27.6">
      <c r="A533" s="245">
        <v>140104</v>
      </c>
      <c r="B533" s="239" t="s">
        <v>1099</v>
      </c>
      <c r="C533" s="238" t="s">
        <v>15</v>
      </c>
      <c r="D533" s="240">
        <v>36400</v>
      </c>
      <c r="G533" s="237"/>
    </row>
    <row r="534" spans="1:7" ht="27.6">
      <c r="A534" s="245">
        <v>140105</v>
      </c>
      <c r="B534" s="239" t="s">
        <v>1100</v>
      </c>
      <c r="C534" s="238" t="s">
        <v>15</v>
      </c>
      <c r="D534" s="240">
        <v>44600</v>
      </c>
      <c r="G534" s="237"/>
    </row>
    <row r="535" spans="1:7" ht="27.6">
      <c r="A535" s="245">
        <v>140106</v>
      </c>
      <c r="B535" s="239" t="s">
        <v>1101</v>
      </c>
      <c r="C535" s="238" t="s">
        <v>15</v>
      </c>
      <c r="D535" s="240">
        <v>52900</v>
      </c>
      <c r="G535" s="237"/>
    </row>
    <row r="536" spans="1:7" ht="27.6">
      <c r="A536" s="245">
        <v>140201</v>
      </c>
      <c r="B536" s="239" t="s">
        <v>1102</v>
      </c>
      <c r="C536" s="238" t="s">
        <v>15</v>
      </c>
      <c r="D536" s="240">
        <v>6690</v>
      </c>
      <c r="G536" s="237"/>
    </row>
    <row r="537" spans="1:7" ht="27.6">
      <c r="A537" s="245">
        <v>140202</v>
      </c>
      <c r="B537" s="239" t="s">
        <v>1103</v>
      </c>
      <c r="C537" s="238" t="s">
        <v>15</v>
      </c>
      <c r="D537" s="240">
        <v>10700</v>
      </c>
      <c r="G537" s="237"/>
    </row>
    <row r="538" spans="1:7" ht="27.6">
      <c r="A538" s="245">
        <v>140301</v>
      </c>
      <c r="B538" s="239" t="s">
        <v>1104</v>
      </c>
      <c r="C538" s="238" t="s">
        <v>15</v>
      </c>
      <c r="D538" s="240">
        <v>64700</v>
      </c>
      <c r="G538" s="237"/>
    </row>
    <row r="539" spans="1:7" ht="27.6">
      <c r="A539" s="245">
        <v>140302</v>
      </c>
      <c r="B539" s="239" t="s">
        <v>1105</v>
      </c>
      <c r="C539" s="238" t="s">
        <v>15</v>
      </c>
      <c r="D539" s="240">
        <v>81500</v>
      </c>
      <c r="G539" s="237"/>
    </row>
    <row r="540" spans="1:7" ht="27.6">
      <c r="A540" s="245">
        <v>140303</v>
      </c>
      <c r="B540" s="239" t="s">
        <v>1106</v>
      </c>
      <c r="C540" s="238" t="s">
        <v>15</v>
      </c>
      <c r="D540" s="240">
        <v>136500</v>
      </c>
      <c r="G540" s="237"/>
    </row>
    <row r="541" spans="1:7" ht="27.6">
      <c r="A541" s="245">
        <v>140304</v>
      </c>
      <c r="B541" s="239" t="s">
        <v>1107</v>
      </c>
      <c r="C541" s="238" t="s">
        <v>15</v>
      </c>
      <c r="D541" s="240">
        <v>104000</v>
      </c>
      <c r="G541" s="237"/>
    </row>
    <row r="542" spans="1:7" ht="27.6">
      <c r="A542" s="245">
        <v>140305</v>
      </c>
      <c r="B542" s="239" t="s">
        <v>1108</v>
      </c>
      <c r="C542" s="238" t="s">
        <v>15</v>
      </c>
      <c r="D542" s="240">
        <v>135000</v>
      </c>
      <c r="G542" s="237"/>
    </row>
    <row r="543" spans="1:7" ht="27.6">
      <c r="A543" s="245">
        <v>140306</v>
      </c>
      <c r="B543" s="239" t="s">
        <v>1109</v>
      </c>
      <c r="C543" s="238" t="s">
        <v>15</v>
      </c>
      <c r="D543" s="240">
        <v>212000</v>
      </c>
      <c r="G543" s="237"/>
    </row>
    <row r="544" spans="1:7" ht="27.6">
      <c r="A544" s="245">
        <v>140401</v>
      </c>
      <c r="B544" s="239" t="s">
        <v>1110</v>
      </c>
      <c r="C544" s="238" t="s">
        <v>15</v>
      </c>
      <c r="D544" s="240">
        <v>213500</v>
      </c>
      <c r="G544" s="237"/>
    </row>
    <row r="545" spans="1:7" ht="27.6">
      <c r="A545" s="245">
        <v>140402</v>
      </c>
      <c r="B545" s="239" t="s">
        <v>1111</v>
      </c>
      <c r="C545" s="238" t="s">
        <v>15</v>
      </c>
      <c r="D545" s="240">
        <v>277500</v>
      </c>
      <c r="G545" s="237"/>
    </row>
    <row r="546" spans="1:7" ht="27.6">
      <c r="A546" s="245">
        <v>140501</v>
      </c>
      <c r="B546" s="239" t="s">
        <v>1112</v>
      </c>
      <c r="C546" s="238" t="s">
        <v>15</v>
      </c>
      <c r="D546" s="240">
        <v>93500</v>
      </c>
      <c r="G546" s="237"/>
    </row>
    <row r="547" spans="1:7" ht="27.6">
      <c r="A547" s="245">
        <v>140601</v>
      </c>
      <c r="B547" s="239" t="s">
        <v>1113</v>
      </c>
      <c r="C547" s="238" t="s">
        <v>15</v>
      </c>
      <c r="D547" s="240">
        <v>96600</v>
      </c>
      <c r="G547" s="237"/>
    </row>
    <row r="548" spans="1:7" ht="27.6">
      <c r="A548" s="245">
        <v>140701</v>
      </c>
      <c r="B548" s="239" t="s">
        <v>1114</v>
      </c>
      <c r="C548" s="238" t="s">
        <v>15</v>
      </c>
      <c r="D548" s="240">
        <v>15400</v>
      </c>
      <c r="G548" s="237"/>
    </row>
    <row r="549" spans="1:7" ht="27.6">
      <c r="A549" s="245">
        <v>140801</v>
      </c>
      <c r="B549" s="239" t="s">
        <v>1115</v>
      </c>
      <c r="C549" s="238" t="s">
        <v>15</v>
      </c>
      <c r="D549" s="240">
        <v>146000</v>
      </c>
      <c r="G549" s="237"/>
    </row>
    <row r="550" spans="1:7" ht="27.6">
      <c r="A550" s="245">
        <v>140802</v>
      </c>
      <c r="B550" s="239" t="s">
        <v>1116</v>
      </c>
      <c r="C550" s="238" t="s">
        <v>15</v>
      </c>
      <c r="D550" s="240">
        <v>155000</v>
      </c>
      <c r="G550" s="237"/>
    </row>
    <row r="551" spans="1:7" ht="27.6">
      <c r="A551" s="245">
        <v>140803</v>
      </c>
      <c r="B551" s="239" t="s">
        <v>1117</v>
      </c>
      <c r="C551" s="238" t="s">
        <v>15</v>
      </c>
      <c r="D551" s="240">
        <v>205500</v>
      </c>
      <c r="G551" s="237"/>
    </row>
    <row r="552" spans="1:7" ht="27.6">
      <c r="A552" s="245">
        <v>140804</v>
      </c>
      <c r="B552" s="239" t="s">
        <v>1118</v>
      </c>
      <c r="C552" s="238" t="s">
        <v>15</v>
      </c>
      <c r="D552" s="240">
        <v>252500</v>
      </c>
      <c r="G552" s="237"/>
    </row>
    <row r="553" spans="1:7" ht="27.6">
      <c r="A553" s="245">
        <v>140805</v>
      </c>
      <c r="B553" s="239" t="s">
        <v>1119</v>
      </c>
      <c r="C553" s="238" t="s">
        <v>15</v>
      </c>
      <c r="D553" s="240">
        <v>284000</v>
      </c>
      <c r="G553" s="237"/>
    </row>
    <row r="554" spans="1:7" ht="27.6">
      <c r="A554" s="245">
        <v>140806</v>
      </c>
      <c r="B554" s="239" t="s">
        <v>1120</v>
      </c>
      <c r="C554" s="238" t="s">
        <v>15</v>
      </c>
      <c r="D554" s="240">
        <v>304500</v>
      </c>
      <c r="G554" s="237"/>
    </row>
    <row r="555" spans="1:7" ht="27.6">
      <c r="A555" s="245">
        <v>140901</v>
      </c>
      <c r="B555" s="239" t="s">
        <v>1121</v>
      </c>
      <c r="C555" s="238" t="s">
        <v>15</v>
      </c>
      <c r="D555" s="240">
        <v>184500</v>
      </c>
      <c r="G555" s="237"/>
    </row>
    <row r="556" spans="1:7" ht="27.6">
      <c r="A556" s="245">
        <v>140902</v>
      </c>
      <c r="B556" s="239" t="s">
        <v>1122</v>
      </c>
      <c r="C556" s="238" t="s">
        <v>15</v>
      </c>
      <c r="D556" s="240">
        <v>208000</v>
      </c>
      <c r="G556" s="237"/>
    </row>
    <row r="557" spans="1:7" ht="27.6">
      <c r="A557" s="245">
        <v>140903</v>
      </c>
      <c r="B557" s="239" t="s">
        <v>1123</v>
      </c>
      <c r="C557" s="238" t="s">
        <v>15</v>
      </c>
      <c r="D557" s="240">
        <v>259000</v>
      </c>
      <c r="G557" s="237"/>
    </row>
    <row r="558" spans="1:7" ht="27.6">
      <c r="A558" s="245">
        <v>140904</v>
      </c>
      <c r="B558" s="239" t="s">
        <v>1124</v>
      </c>
      <c r="C558" s="238" t="s">
        <v>15</v>
      </c>
      <c r="D558" s="240">
        <v>301000</v>
      </c>
      <c r="G558" s="237"/>
    </row>
    <row r="559" spans="1:7" ht="27.6">
      <c r="A559" s="245">
        <v>140905</v>
      </c>
      <c r="B559" s="239" t="s">
        <v>1125</v>
      </c>
      <c r="C559" s="238" t="s">
        <v>15</v>
      </c>
      <c r="D559" s="240">
        <v>358000</v>
      </c>
      <c r="G559" s="237"/>
    </row>
    <row r="560" spans="1:7" ht="27.6">
      <c r="A560" s="245">
        <v>140906</v>
      </c>
      <c r="B560" s="239" t="s">
        <v>1126</v>
      </c>
      <c r="C560" s="238" t="s">
        <v>15</v>
      </c>
      <c r="D560" s="240">
        <v>415000</v>
      </c>
      <c r="G560" s="237"/>
    </row>
    <row r="561" spans="1:7" ht="27.6">
      <c r="A561" s="245">
        <v>140907</v>
      </c>
      <c r="B561" s="239" t="s">
        <v>1127</v>
      </c>
      <c r="C561" s="238" t="s">
        <v>15</v>
      </c>
      <c r="D561" s="240">
        <v>438000</v>
      </c>
      <c r="G561" s="237"/>
    </row>
    <row r="562" spans="1:7" ht="27.6">
      <c r="A562" s="245">
        <v>140908</v>
      </c>
      <c r="B562" s="239" t="s">
        <v>1128</v>
      </c>
      <c r="C562" s="238" t="s">
        <v>15</v>
      </c>
      <c r="D562" s="240">
        <v>506500</v>
      </c>
      <c r="G562" s="237"/>
    </row>
    <row r="563" spans="1:7">
      <c r="A563" s="245">
        <v>141001</v>
      </c>
      <c r="B563" s="239" t="s">
        <v>1129</v>
      </c>
      <c r="C563" s="238" t="s">
        <v>15</v>
      </c>
      <c r="D563" s="240">
        <v>93200</v>
      </c>
      <c r="G563" s="237"/>
    </row>
    <row r="564" spans="1:7">
      <c r="A564" s="245">
        <v>141002</v>
      </c>
      <c r="B564" s="239" t="s">
        <v>1130</v>
      </c>
      <c r="C564" s="238" t="s">
        <v>15</v>
      </c>
      <c r="D564" s="240">
        <v>259500</v>
      </c>
      <c r="G564" s="237"/>
    </row>
    <row r="565" spans="1:7">
      <c r="A565" s="245">
        <v>141003</v>
      </c>
      <c r="B565" s="239" t="s">
        <v>1131</v>
      </c>
      <c r="C565" s="238" t="s">
        <v>15</v>
      </c>
      <c r="D565" s="240">
        <v>495000</v>
      </c>
      <c r="G565" s="237"/>
    </row>
    <row r="566" spans="1:7">
      <c r="A566" s="245">
        <v>141004</v>
      </c>
      <c r="B566" s="239" t="s">
        <v>1132</v>
      </c>
      <c r="C566" s="238" t="s">
        <v>15</v>
      </c>
      <c r="D566" s="240">
        <v>730500</v>
      </c>
      <c r="G566" s="237"/>
    </row>
    <row r="567" spans="1:7">
      <c r="A567" s="245">
        <v>141005</v>
      </c>
      <c r="B567" s="239" t="s">
        <v>1133</v>
      </c>
      <c r="C567" s="238" t="s">
        <v>15</v>
      </c>
      <c r="D567" s="240">
        <v>965000</v>
      </c>
      <c r="G567" s="237"/>
    </row>
    <row r="568" spans="1:7" ht="27.6">
      <c r="A568" s="245">
        <v>141101</v>
      </c>
      <c r="B568" s="239" t="s">
        <v>1134</v>
      </c>
      <c r="C568" s="238" t="s">
        <v>15</v>
      </c>
      <c r="D568" s="240">
        <v>1920</v>
      </c>
      <c r="G568" s="237"/>
    </row>
    <row r="569" spans="1:7" ht="41.4">
      <c r="A569" s="245">
        <v>141102</v>
      </c>
      <c r="B569" s="239" t="s">
        <v>1135</v>
      </c>
      <c r="C569" s="238" t="s">
        <v>15</v>
      </c>
      <c r="D569" s="240">
        <v>13700</v>
      </c>
      <c r="G569" s="237"/>
    </row>
    <row r="570" spans="1:7" ht="27.6">
      <c r="A570" s="245">
        <v>141201</v>
      </c>
      <c r="B570" s="239" t="s">
        <v>1136</v>
      </c>
      <c r="C570" s="238" t="s">
        <v>335</v>
      </c>
      <c r="D570" s="240">
        <v>77600</v>
      </c>
      <c r="G570" s="237"/>
    </row>
    <row r="571" spans="1:7">
      <c r="A571" s="245">
        <v>141301</v>
      </c>
      <c r="B571" s="239" t="s">
        <v>1137</v>
      </c>
      <c r="C571" s="238" t="s">
        <v>15</v>
      </c>
      <c r="D571" s="240">
        <v>17500</v>
      </c>
      <c r="G571" s="237"/>
    </row>
    <row r="572" spans="1:7">
      <c r="A572" s="245">
        <v>141302</v>
      </c>
      <c r="B572" s="239" t="s">
        <v>1138</v>
      </c>
      <c r="C572" s="238" t="s">
        <v>15</v>
      </c>
      <c r="D572" s="240">
        <v>41500</v>
      </c>
      <c r="G572" s="237"/>
    </row>
    <row r="573" spans="1:7">
      <c r="A573" s="245">
        <v>141303</v>
      </c>
      <c r="B573" s="239" t="s">
        <v>1139</v>
      </c>
      <c r="C573" s="238" t="s">
        <v>15</v>
      </c>
      <c r="D573" s="240">
        <v>83400</v>
      </c>
      <c r="G573" s="237"/>
    </row>
    <row r="574" spans="1:7">
      <c r="A574" s="245">
        <v>141304</v>
      </c>
      <c r="B574" s="239" t="s">
        <v>1140</v>
      </c>
      <c r="C574" s="238" t="s">
        <v>15</v>
      </c>
      <c r="D574" s="240">
        <v>109000</v>
      </c>
      <c r="G574" s="237"/>
    </row>
    <row r="575" spans="1:7">
      <c r="A575" s="245">
        <v>141305</v>
      </c>
      <c r="B575" s="239" t="s">
        <v>1141</v>
      </c>
      <c r="C575" s="238" t="s">
        <v>15</v>
      </c>
      <c r="D575" s="240">
        <v>142500</v>
      </c>
      <c r="G575" s="237"/>
    </row>
    <row r="576" spans="1:7">
      <c r="A576" s="245">
        <v>141306</v>
      </c>
      <c r="B576" s="239" t="s">
        <v>1142</v>
      </c>
      <c r="C576" s="238" t="s">
        <v>15</v>
      </c>
      <c r="D576" s="240">
        <v>176000</v>
      </c>
      <c r="G576" s="237"/>
    </row>
    <row r="577" spans="1:7" ht="27.6">
      <c r="A577" s="245">
        <v>141307</v>
      </c>
      <c r="B577" s="239" t="s">
        <v>1143</v>
      </c>
      <c r="C577" s="238" t="s">
        <v>496</v>
      </c>
      <c r="D577" s="240">
        <v>200</v>
      </c>
      <c r="G577" s="237"/>
    </row>
    <row r="578" spans="1:7" ht="27.6">
      <c r="A578" s="245">
        <v>160101</v>
      </c>
      <c r="B578" s="239" t="s">
        <v>1144</v>
      </c>
      <c r="C578" s="238" t="s">
        <v>335</v>
      </c>
      <c r="D578" s="240">
        <v>29700</v>
      </c>
      <c r="G578" s="237"/>
    </row>
    <row r="579" spans="1:7" ht="41.4">
      <c r="A579" s="245">
        <v>160102</v>
      </c>
      <c r="B579" s="239" t="s">
        <v>1145</v>
      </c>
      <c r="C579" s="238" t="s">
        <v>335</v>
      </c>
      <c r="D579" s="240">
        <v>27600</v>
      </c>
      <c r="G579" s="237"/>
    </row>
    <row r="580" spans="1:7" ht="41.4">
      <c r="A580" s="245">
        <v>160103</v>
      </c>
      <c r="B580" s="239" t="s">
        <v>1146</v>
      </c>
      <c r="C580" s="238" t="s">
        <v>335</v>
      </c>
      <c r="D580" s="240">
        <v>26900</v>
      </c>
      <c r="G580" s="237"/>
    </row>
    <row r="581" spans="1:7" ht="27.6">
      <c r="A581" s="245">
        <v>160104</v>
      </c>
      <c r="B581" s="239" t="s">
        <v>1147</v>
      </c>
      <c r="C581" s="238" t="s">
        <v>335</v>
      </c>
      <c r="D581" s="240">
        <v>42300</v>
      </c>
      <c r="G581" s="237"/>
    </row>
    <row r="582" spans="1:7" ht="41.4">
      <c r="A582" s="245">
        <v>160105</v>
      </c>
      <c r="B582" s="239" t="s">
        <v>1148</v>
      </c>
      <c r="C582" s="238" t="s">
        <v>335</v>
      </c>
      <c r="D582" s="240">
        <v>37100</v>
      </c>
      <c r="G582" s="237"/>
    </row>
    <row r="583" spans="1:7">
      <c r="A583" s="245">
        <v>160106</v>
      </c>
      <c r="B583" s="239" t="s">
        <v>1149</v>
      </c>
      <c r="C583" s="238" t="s">
        <v>335</v>
      </c>
      <c r="D583" s="240">
        <v>61000</v>
      </c>
      <c r="G583" s="237"/>
    </row>
    <row r="584" spans="1:7" ht="41.4">
      <c r="A584" s="245">
        <v>160201</v>
      </c>
      <c r="B584" s="239" t="s">
        <v>1150</v>
      </c>
      <c r="C584" s="238" t="s">
        <v>335</v>
      </c>
      <c r="D584" s="240">
        <v>32000</v>
      </c>
      <c r="G584" s="237"/>
    </row>
    <row r="585" spans="1:7">
      <c r="A585" s="245">
        <v>160202</v>
      </c>
      <c r="B585" s="239" t="s">
        <v>1151</v>
      </c>
      <c r="C585" s="238" t="s">
        <v>335</v>
      </c>
      <c r="D585" s="240">
        <v>30400</v>
      </c>
      <c r="G585" s="237"/>
    </row>
    <row r="586" spans="1:7" ht="27.6">
      <c r="A586" s="245">
        <v>160203</v>
      </c>
      <c r="B586" s="239" t="s">
        <v>1152</v>
      </c>
      <c r="C586" s="238" t="s">
        <v>335</v>
      </c>
      <c r="D586" s="240">
        <v>32800</v>
      </c>
      <c r="G586" s="237"/>
    </row>
    <row r="587" spans="1:7" ht="27.6">
      <c r="A587" s="245">
        <v>160204</v>
      </c>
      <c r="B587" s="239" t="s">
        <v>1153</v>
      </c>
      <c r="C587" s="238" t="s">
        <v>335</v>
      </c>
      <c r="D587" s="240">
        <v>23700</v>
      </c>
      <c r="G587" s="237"/>
    </row>
    <row r="588" spans="1:7" ht="27.6">
      <c r="A588" s="245">
        <v>160205</v>
      </c>
      <c r="B588" s="239" t="s">
        <v>1154</v>
      </c>
      <c r="C588" s="238" t="s">
        <v>335</v>
      </c>
      <c r="D588" s="240">
        <v>25500</v>
      </c>
      <c r="G588" s="237"/>
    </row>
    <row r="589" spans="1:7" ht="41.4">
      <c r="A589" s="245">
        <v>160206</v>
      </c>
      <c r="B589" s="239" t="s">
        <v>1155</v>
      </c>
      <c r="C589" s="238" t="s">
        <v>335</v>
      </c>
      <c r="D589" s="240">
        <v>23800</v>
      </c>
      <c r="G589" s="237"/>
    </row>
    <row r="590" spans="1:7" ht="27.6">
      <c r="A590" s="245">
        <v>160207</v>
      </c>
      <c r="B590" s="239" t="s">
        <v>1156</v>
      </c>
      <c r="C590" s="238" t="s">
        <v>335</v>
      </c>
      <c r="D590" s="240">
        <v>33700</v>
      </c>
      <c r="G590" s="237"/>
    </row>
    <row r="591" spans="1:7" ht="27.6">
      <c r="A591" s="245">
        <v>160208</v>
      </c>
      <c r="B591" s="239" t="s">
        <v>1157</v>
      </c>
      <c r="C591" s="238" t="s">
        <v>335</v>
      </c>
      <c r="D591" s="240">
        <v>42300</v>
      </c>
      <c r="G591" s="237"/>
    </row>
    <row r="592" spans="1:7" ht="41.4">
      <c r="A592" s="245">
        <v>160209</v>
      </c>
      <c r="B592" s="239" t="s">
        <v>1158</v>
      </c>
      <c r="C592" s="238" t="s">
        <v>335</v>
      </c>
      <c r="D592" s="240">
        <v>22100</v>
      </c>
      <c r="G592" s="237"/>
    </row>
    <row r="593" spans="1:7" ht="27.6">
      <c r="A593" s="245">
        <v>160210</v>
      </c>
      <c r="B593" s="239" t="s">
        <v>1159</v>
      </c>
      <c r="C593" s="238" t="s">
        <v>335</v>
      </c>
      <c r="D593" s="240">
        <v>44400</v>
      </c>
      <c r="G593" s="237"/>
    </row>
    <row r="594" spans="1:7" ht="27.6">
      <c r="A594" s="245">
        <v>160211</v>
      </c>
      <c r="B594" s="239" t="s">
        <v>1160</v>
      </c>
      <c r="C594" s="238" t="s">
        <v>335</v>
      </c>
      <c r="D594" s="240">
        <v>18600</v>
      </c>
      <c r="G594" s="237"/>
    </row>
    <row r="595" spans="1:7" ht="27.6">
      <c r="A595" s="245">
        <v>160212</v>
      </c>
      <c r="B595" s="239" t="s">
        <v>1161</v>
      </c>
      <c r="C595" s="238" t="s">
        <v>335</v>
      </c>
      <c r="D595" s="240">
        <v>25800</v>
      </c>
      <c r="G595" s="237"/>
    </row>
    <row r="596" spans="1:7">
      <c r="A596" s="245">
        <v>160213</v>
      </c>
      <c r="B596" s="239" t="s">
        <v>1162</v>
      </c>
      <c r="C596" s="238" t="s">
        <v>335</v>
      </c>
      <c r="D596" s="240">
        <v>52600</v>
      </c>
      <c r="G596" s="237"/>
    </row>
    <row r="597" spans="1:7" ht="27.6">
      <c r="A597" s="245">
        <v>160214</v>
      </c>
      <c r="B597" s="239" t="s">
        <v>1163</v>
      </c>
      <c r="C597" s="238" t="s">
        <v>335</v>
      </c>
      <c r="D597" s="240">
        <v>10500</v>
      </c>
      <c r="G597" s="237"/>
    </row>
    <row r="598" spans="1:7" ht="41.4">
      <c r="A598" s="245">
        <v>160215</v>
      </c>
      <c r="B598" s="239" t="s">
        <v>1164</v>
      </c>
      <c r="C598" s="238" t="s">
        <v>335</v>
      </c>
      <c r="D598" s="240">
        <v>42000</v>
      </c>
      <c r="G598" s="237"/>
    </row>
    <row r="599" spans="1:7" ht="27.6">
      <c r="A599" s="245">
        <v>160216</v>
      </c>
      <c r="B599" s="239" t="s">
        <v>1165</v>
      </c>
      <c r="C599" s="238" t="s">
        <v>161</v>
      </c>
      <c r="D599" s="240">
        <v>2500000</v>
      </c>
      <c r="G599" s="237"/>
    </row>
    <row r="600" spans="1:7" ht="27.6">
      <c r="A600" s="245">
        <v>160301</v>
      </c>
      <c r="B600" s="239" t="s">
        <v>1166</v>
      </c>
      <c r="C600" s="238" t="s">
        <v>335</v>
      </c>
      <c r="D600" s="240">
        <v>29200</v>
      </c>
      <c r="G600" s="237"/>
    </row>
    <row r="601" spans="1:7" ht="27.6">
      <c r="A601" s="245">
        <v>160302</v>
      </c>
      <c r="B601" s="239" t="s">
        <v>1167</v>
      </c>
      <c r="C601" s="238" t="s">
        <v>335</v>
      </c>
      <c r="D601" s="240">
        <v>33000</v>
      </c>
      <c r="G601" s="237"/>
    </row>
    <row r="602" spans="1:7" ht="27.6">
      <c r="A602" s="245">
        <v>160303</v>
      </c>
      <c r="B602" s="239" t="s">
        <v>1168</v>
      </c>
      <c r="C602" s="238" t="s">
        <v>335</v>
      </c>
      <c r="D602" s="240">
        <v>35800</v>
      </c>
      <c r="G602" s="237"/>
    </row>
    <row r="603" spans="1:7" ht="27.6">
      <c r="A603" s="245">
        <v>160304</v>
      </c>
      <c r="B603" s="239" t="s">
        <v>1169</v>
      </c>
      <c r="C603" s="238" t="s">
        <v>335</v>
      </c>
      <c r="D603" s="240">
        <v>10300</v>
      </c>
      <c r="G603" s="237"/>
    </row>
    <row r="604" spans="1:7" ht="27.6">
      <c r="A604" s="245">
        <v>160305</v>
      </c>
      <c r="B604" s="239" t="s">
        <v>1170</v>
      </c>
      <c r="C604" s="238" t="s">
        <v>335</v>
      </c>
      <c r="D604" s="240">
        <v>61000</v>
      </c>
      <c r="G604" s="237"/>
    </row>
    <row r="605" spans="1:7" ht="27.6">
      <c r="A605" s="245">
        <v>160306</v>
      </c>
      <c r="B605" s="239" t="s">
        <v>1171</v>
      </c>
      <c r="C605" s="238" t="s">
        <v>335</v>
      </c>
      <c r="D605" s="240">
        <v>38400</v>
      </c>
      <c r="G605" s="237"/>
    </row>
    <row r="606" spans="1:7" ht="41.4">
      <c r="A606" s="245">
        <v>160307</v>
      </c>
      <c r="B606" s="239" t="s">
        <v>1172</v>
      </c>
      <c r="C606" s="238" t="s">
        <v>242</v>
      </c>
      <c r="D606" s="240">
        <v>107000</v>
      </c>
      <c r="G606" s="237"/>
    </row>
    <row r="607" spans="1:7" ht="41.4">
      <c r="A607" s="245">
        <v>160308</v>
      </c>
      <c r="B607" s="239" t="s">
        <v>1173</v>
      </c>
      <c r="C607" s="238" t="s">
        <v>242</v>
      </c>
      <c r="D607" s="240">
        <v>133500</v>
      </c>
      <c r="G607" s="237"/>
    </row>
    <row r="608" spans="1:7">
      <c r="A608" s="245">
        <v>160309</v>
      </c>
      <c r="B608" s="239" t="s">
        <v>1174</v>
      </c>
      <c r="C608" s="238" t="s">
        <v>161</v>
      </c>
      <c r="D608" s="240">
        <v>63900</v>
      </c>
      <c r="G608" s="237"/>
    </row>
    <row r="609" spans="1:7">
      <c r="A609" s="245">
        <v>160310</v>
      </c>
      <c r="B609" s="239" t="s">
        <v>1175</v>
      </c>
      <c r="C609" s="238" t="s">
        <v>161</v>
      </c>
      <c r="D609" s="240">
        <v>63900</v>
      </c>
      <c r="G609" s="237"/>
    </row>
    <row r="610" spans="1:7">
      <c r="A610" s="245">
        <v>160401</v>
      </c>
      <c r="B610" s="239" t="s">
        <v>1176</v>
      </c>
      <c r="C610" s="238" t="s">
        <v>335</v>
      </c>
      <c r="D610" s="240">
        <v>38200</v>
      </c>
      <c r="G610" s="237"/>
    </row>
    <row r="611" spans="1:7">
      <c r="A611" s="245">
        <v>160402</v>
      </c>
      <c r="B611" s="239" t="s">
        <v>1177</v>
      </c>
      <c r="C611" s="238" t="s">
        <v>15</v>
      </c>
      <c r="D611" s="240">
        <v>79700</v>
      </c>
      <c r="G611" s="237"/>
    </row>
    <row r="612" spans="1:7">
      <c r="A612" s="245">
        <v>160403</v>
      </c>
      <c r="B612" s="239" t="s">
        <v>1178</v>
      </c>
      <c r="C612" s="238" t="s">
        <v>15</v>
      </c>
      <c r="D612" s="240">
        <v>39200</v>
      </c>
      <c r="G612" s="237"/>
    </row>
    <row r="613" spans="1:7">
      <c r="A613" s="245">
        <v>160404</v>
      </c>
      <c r="B613" s="239" t="s">
        <v>1179</v>
      </c>
      <c r="C613" s="238" t="s">
        <v>335</v>
      </c>
      <c r="D613" s="240">
        <v>25600</v>
      </c>
      <c r="G613" s="237"/>
    </row>
    <row r="614" spans="1:7">
      <c r="A614" s="245">
        <v>160405</v>
      </c>
      <c r="B614" s="239" t="s">
        <v>1180</v>
      </c>
      <c r="C614" s="238" t="s">
        <v>335</v>
      </c>
      <c r="D614" s="240">
        <v>31900</v>
      </c>
      <c r="G614" s="237"/>
    </row>
    <row r="615" spans="1:7">
      <c r="A615" s="245">
        <v>160406</v>
      </c>
      <c r="B615" s="239" t="s">
        <v>1181</v>
      </c>
      <c r="C615" s="238" t="s">
        <v>15</v>
      </c>
      <c r="D615" s="240">
        <v>41400</v>
      </c>
      <c r="G615" s="237"/>
    </row>
    <row r="616" spans="1:7">
      <c r="A616" s="245">
        <v>160407</v>
      </c>
      <c r="B616" s="239" t="s">
        <v>1182</v>
      </c>
      <c r="C616" s="238" t="s">
        <v>335</v>
      </c>
      <c r="D616" s="240">
        <v>37300</v>
      </c>
      <c r="G616" s="237"/>
    </row>
    <row r="617" spans="1:7">
      <c r="A617" s="245">
        <v>160408</v>
      </c>
      <c r="B617" s="239" t="s">
        <v>1183</v>
      </c>
      <c r="C617" s="238" t="s">
        <v>15</v>
      </c>
      <c r="D617" s="240"/>
      <c r="G617" s="237"/>
    </row>
    <row r="618" spans="1:7" ht="27.6">
      <c r="A618" s="245">
        <v>160409</v>
      </c>
      <c r="B618" s="239" t="s">
        <v>1184</v>
      </c>
      <c r="C618" s="238" t="s">
        <v>335</v>
      </c>
      <c r="D618" s="240">
        <v>23400</v>
      </c>
      <c r="G618" s="237"/>
    </row>
    <row r="619" spans="1:7" ht="27.6">
      <c r="A619" s="245">
        <v>160410</v>
      </c>
      <c r="B619" s="239" t="s">
        <v>1185</v>
      </c>
      <c r="C619" s="238" t="s">
        <v>335</v>
      </c>
      <c r="D619" s="240">
        <v>21300</v>
      </c>
      <c r="G619" s="237"/>
    </row>
    <row r="620" spans="1:7">
      <c r="A620" s="245">
        <v>160411</v>
      </c>
      <c r="B620" s="239" t="s">
        <v>1186</v>
      </c>
      <c r="C620" s="238" t="s">
        <v>15</v>
      </c>
      <c r="D620" s="240">
        <v>48300</v>
      </c>
      <c r="G620" s="237"/>
    </row>
    <row r="621" spans="1:7">
      <c r="A621" s="245">
        <v>160412</v>
      </c>
      <c r="B621" s="239" t="s">
        <v>1187</v>
      </c>
      <c r="C621" s="238" t="s">
        <v>15</v>
      </c>
      <c r="D621" s="240">
        <v>33600</v>
      </c>
      <c r="G621" s="237"/>
    </row>
    <row r="622" spans="1:7" ht="27.6">
      <c r="A622" s="245">
        <v>160501</v>
      </c>
      <c r="B622" s="239" t="s">
        <v>1188</v>
      </c>
      <c r="C622" s="238" t="s">
        <v>15</v>
      </c>
      <c r="D622" s="240"/>
      <c r="G622" s="237"/>
    </row>
    <row r="623" spans="1:7" ht="27.6">
      <c r="A623" s="245">
        <v>160502</v>
      </c>
      <c r="B623" s="239" t="s">
        <v>1189</v>
      </c>
      <c r="C623" s="238" t="s">
        <v>15</v>
      </c>
      <c r="D623" s="240"/>
      <c r="G623" s="237"/>
    </row>
    <row r="624" spans="1:7" ht="27.6">
      <c r="A624" s="245">
        <v>160503</v>
      </c>
      <c r="B624" s="239" t="s">
        <v>1190</v>
      </c>
      <c r="C624" s="238" t="s">
        <v>15</v>
      </c>
      <c r="D624" s="240"/>
      <c r="G624" s="237"/>
    </row>
    <row r="625" spans="1:7" ht="82.8">
      <c r="A625" s="245">
        <v>160601</v>
      </c>
      <c r="B625" s="239" t="s">
        <v>1191</v>
      </c>
      <c r="C625" s="238" t="s">
        <v>15</v>
      </c>
      <c r="D625" s="240">
        <v>326500</v>
      </c>
      <c r="G625" s="237"/>
    </row>
    <row r="626" spans="1:7" ht="82.8">
      <c r="A626" s="245">
        <v>160602</v>
      </c>
      <c r="B626" s="239" t="s">
        <v>1191</v>
      </c>
      <c r="C626" s="238" t="s">
        <v>15</v>
      </c>
      <c r="D626" s="240">
        <v>331000</v>
      </c>
      <c r="G626" s="237"/>
    </row>
    <row r="627" spans="1:7" ht="27.6">
      <c r="A627" s="245">
        <v>160603</v>
      </c>
      <c r="B627" s="239" t="s">
        <v>1192</v>
      </c>
      <c r="C627" s="238" t="s">
        <v>15</v>
      </c>
      <c r="D627" s="240">
        <v>11700</v>
      </c>
      <c r="G627" s="237"/>
    </row>
    <row r="628" spans="1:7" ht="27.6">
      <c r="A628" s="245">
        <v>160604</v>
      </c>
      <c r="B628" s="239" t="s">
        <v>1193</v>
      </c>
      <c r="C628" s="238" t="s">
        <v>15</v>
      </c>
      <c r="D628" s="240">
        <v>84400</v>
      </c>
      <c r="G628" s="237"/>
    </row>
    <row r="629" spans="1:7" ht="27.6">
      <c r="A629" s="245">
        <v>160605</v>
      </c>
      <c r="B629" s="239" t="s">
        <v>1194</v>
      </c>
      <c r="C629" s="238" t="s">
        <v>15</v>
      </c>
      <c r="D629" s="240">
        <v>37500</v>
      </c>
      <c r="G629" s="237"/>
    </row>
    <row r="630" spans="1:7" ht="27.6">
      <c r="A630" s="245">
        <v>160606</v>
      </c>
      <c r="B630" s="239" t="s">
        <v>1195</v>
      </c>
      <c r="C630" s="238" t="s">
        <v>15</v>
      </c>
      <c r="D630" s="240">
        <v>4060</v>
      </c>
      <c r="G630" s="237"/>
    </row>
    <row r="631" spans="1:7" ht="55.2">
      <c r="A631" s="245">
        <v>160701</v>
      </c>
      <c r="B631" s="239" t="s">
        <v>1196</v>
      </c>
      <c r="C631" s="238" t="s">
        <v>335</v>
      </c>
      <c r="D631" s="240">
        <v>101000</v>
      </c>
      <c r="G631" s="237"/>
    </row>
    <row r="632" spans="1:7" ht="27.6">
      <c r="A632" s="245">
        <v>160703</v>
      </c>
      <c r="B632" s="239" t="s">
        <v>1197</v>
      </c>
      <c r="C632" s="238" t="s">
        <v>335</v>
      </c>
      <c r="D632" s="240">
        <v>96500</v>
      </c>
      <c r="G632" s="237"/>
    </row>
    <row r="633" spans="1:7" ht="41.4">
      <c r="A633" s="245">
        <v>160704</v>
      </c>
      <c r="B633" s="239" t="s">
        <v>1198</v>
      </c>
      <c r="C633" s="238" t="s">
        <v>335</v>
      </c>
      <c r="D633" s="240">
        <v>42000</v>
      </c>
      <c r="G633" s="237"/>
    </row>
    <row r="634" spans="1:7" ht="27.6">
      <c r="A634" s="245">
        <v>160705</v>
      </c>
      <c r="B634" s="239" t="s">
        <v>1199</v>
      </c>
      <c r="C634" s="238" t="s">
        <v>335</v>
      </c>
      <c r="D634" s="240">
        <v>3660</v>
      </c>
      <c r="G634" s="237"/>
    </row>
    <row r="635" spans="1:7" ht="27.6">
      <c r="A635" s="245">
        <v>170101</v>
      </c>
      <c r="B635" s="239" t="s">
        <v>1200</v>
      </c>
      <c r="C635" s="238" t="s">
        <v>335</v>
      </c>
      <c r="D635" s="240">
        <v>113500</v>
      </c>
      <c r="G635" s="237"/>
    </row>
    <row r="636" spans="1:7" ht="27.6">
      <c r="A636" s="245">
        <v>170102</v>
      </c>
      <c r="B636" s="239" t="s">
        <v>1201</v>
      </c>
      <c r="C636" s="238" t="s">
        <v>335</v>
      </c>
      <c r="D636" s="240">
        <v>130000</v>
      </c>
      <c r="G636" s="237"/>
    </row>
    <row r="637" spans="1:7" ht="27.6">
      <c r="A637" s="245">
        <v>170103</v>
      </c>
      <c r="B637" s="239" t="s">
        <v>1202</v>
      </c>
      <c r="C637" s="238" t="s">
        <v>335</v>
      </c>
      <c r="D637" s="240">
        <v>130000</v>
      </c>
      <c r="G637" s="237"/>
    </row>
    <row r="638" spans="1:7" ht="27.6">
      <c r="A638" s="245">
        <v>170104</v>
      </c>
      <c r="B638" s="239" t="s">
        <v>1203</v>
      </c>
      <c r="C638" s="238" t="s">
        <v>335</v>
      </c>
      <c r="D638" s="240">
        <v>103000</v>
      </c>
      <c r="G638" s="237"/>
    </row>
    <row r="639" spans="1:7">
      <c r="A639" s="245">
        <v>170105</v>
      </c>
      <c r="B639" s="239" t="s">
        <v>1204</v>
      </c>
      <c r="C639" s="238" t="s">
        <v>335</v>
      </c>
      <c r="D639" s="240">
        <v>155500</v>
      </c>
      <c r="G639" s="237"/>
    </row>
    <row r="640" spans="1:7">
      <c r="A640" s="245">
        <v>170106</v>
      </c>
      <c r="B640" s="239" t="s">
        <v>1205</v>
      </c>
      <c r="C640" s="238" t="s">
        <v>335</v>
      </c>
      <c r="D640" s="240">
        <v>152000</v>
      </c>
      <c r="G640" s="237"/>
    </row>
    <row r="641" spans="1:7" ht="41.4">
      <c r="A641" s="245">
        <v>170107</v>
      </c>
      <c r="B641" s="239" t="s">
        <v>1206</v>
      </c>
      <c r="C641" s="238" t="s">
        <v>335</v>
      </c>
      <c r="D641" s="240">
        <v>120000</v>
      </c>
      <c r="G641" s="237"/>
    </row>
    <row r="642" spans="1:7" ht="27.6">
      <c r="A642" s="245">
        <v>170201</v>
      </c>
      <c r="B642" s="239" t="s">
        <v>1207</v>
      </c>
      <c r="C642" s="238" t="s">
        <v>15</v>
      </c>
      <c r="D642" s="240">
        <v>581000</v>
      </c>
      <c r="G642" s="237"/>
    </row>
    <row r="643" spans="1:7" ht="55.2">
      <c r="A643" s="245">
        <v>170202</v>
      </c>
      <c r="B643" s="239" t="s">
        <v>1208</v>
      </c>
      <c r="C643" s="238" t="s">
        <v>15</v>
      </c>
      <c r="D643" s="240">
        <v>695500</v>
      </c>
      <c r="G643" s="237"/>
    </row>
    <row r="644" spans="1:7" ht="27.6">
      <c r="A644" s="245">
        <v>170301</v>
      </c>
      <c r="B644" s="239" t="s">
        <v>1209</v>
      </c>
      <c r="C644" s="238" t="s">
        <v>335</v>
      </c>
      <c r="D644" s="240">
        <v>112000</v>
      </c>
      <c r="G644" s="237"/>
    </row>
    <row r="645" spans="1:7" ht="27.6">
      <c r="A645" s="245">
        <v>170302</v>
      </c>
      <c r="B645" s="239" t="s">
        <v>1210</v>
      </c>
      <c r="C645" s="238" t="s">
        <v>335</v>
      </c>
      <c r="D645" s="240">
        <v>107000</v>
      </c>
      <c r="G645" s="237"/>
    </row>
    <row r="646" spans="1:7" ht="27.6">
      <c r="A646" s="245">
        <v>170303</v>
      </c>
      <c r="B646" s="239" t="s">
        <v>1211</v>
      </c>
      <c r="C646" s="238" t="s">
        <v>335</v>
      </c>
      <c r="D646" s="240">
        <v>129000</v>
      </c>
      <c r="G646" s="237"/>
    </row>
    <row r="647" spans="1:7" ht="27.6">
      <c r="A647" s="245">
        <v>170304</v>
      </c>
      <c r="B647" s="239" t="s">
        <v>1212</v>
      </c>
      <c r="C647" s="238" t="s">
        <v>335</v>
      </c>
      <c r="D647" s="240">
        <v>120000</v>
      </c>
      <c r="G647" s="237"/>
    </row>
    <row r="648" spans="1:7">
      <c r="A648" s="245">
        <v>170305</v>
      </c>
      <c r="B648" s="239" t="s">
        <v>1213</v>
      </c>
      <c r="C648" s="238" t="s">
        <v>335</v>
      </c>
      <c r="D648" s="240">
        <v>113500</v>
      </c>
      <c r="G648" s="237"/>
    </row>
    <row r="649" spans="1:7" ht="27.6">
      <c r="A649" s="245">
        <v>170306</v>
      </c>
      <c r="B649" s="239" t="s">
        <v>1214</v>
      </c>
      <c r="C649" s="238" t="s">
        <v>335</v>
      </c>
      <c r="D649" s="240">
        <v>130000</v>
      </c>
      <c r="G649" s="237"/>
    </row>
    <row r="650" spans="1:7" ht="27.6">
      <c r="A650" s="245">
        <v>170307</v>
      </c>
      <c r="B650" s="239" t="s">
        <v>1215</v>
      </c>
      <c r="C650" s="238" t="s">
        <v>335</v>
      </c>
      <c r="D650" s="240">
        <v>121000</v>
      </c>
      <c r="G650" s="237"/>
    </row>
    <row r="651" spans="1:7">
      <c r="A651" s="245">
        <v>170401</v>
      </c>
      <c r="B651" s="239" t="s">
        <v>1216</v>
      </c>
      <c r="C651" s="238" t="s">
        <v>335</v>
      </c>
      <c r="D651" s="240">
        <v>132500</v>
      </c>
      <c r="G651" s="237"/>
    </row>
    <row r="652" spans="1:7">
      <c r="A652" s="245">
        <v>170402</v>
      </c>
      <c r="B652" s="239" t="s">
        <v>1217</v>
      </c>
      <c r="C652" s="238" t="s">
        <v>335</v>
      </c>
      <c r="D652" s="240">
        <v>168000</v>
      </c>
      <c r="G652" s="237"/>
    </row>
    <row r="653" spans="1:7">
      <c r="A653" s="245">
        <v>170403</v>
      </c>
      <c r="B653" s="239" t="s">
        <v>1218</v>
      </c>
      <c r="C653" s="238" t="s">
        <v>335</v>
      </c>
      <c r="D653" s="240">
        <v>187500</v>
      </c>
      <c r="G653" s="237"/>
    </row>
    <row r="654" spans="1:7">
      <c r="A654" s="245">
        <v>170404</v>
      </c>
      <c r="B654" s="239" t="s">
        <v>1219</v>
      </c>
      <c r="C654" s="238" t="s">
        <v>335</v>
      </c>
      <c r="D654" s="240">
        <v>137500</v>
      </c>
      <c r="G654" s="237"/>
    </row>
    <row r="655" spans="1:7">
      <c r="A655" s="245">
        <v>170405</v>
      </c>
      <c r="B655" s="239" t="s">
        <v>1220</v>
      </c>
      <c r="C655" s="238" t="s">
        <v>161</v>
      </c>
      <c r="D655" s="240">
        <v>76100</v>
      </c>
      <c r="G655" s="237"/>
    </row>
    <row r="656" spans="1:7">
      <c r="A656" s="245">
        <v>170406</v>
      </c>
      <c r="B656" s="239" t="s">
        <v>1221</v>
      </c>
      <c r="C656" s="238" t="s">
        <v>161</v>
      </c>
      <c r="D656" s="240">
        <v>78800</v>
      </c>
      <c r="G656" s="237"/>
    </row>
    <row r="657" spans="1:7">
      <c r="A657" s="245">
        <v>170501</v>
      </c>
      <c r="B657" s="239" t="s">
        <v>1222</v>
      </c>
      <c r="C657" s="238" t="s">
        <v>15</v>
      </c>
      <c r="D657" s="240">
        <v>225000</v>
      </c>
      <c r="G657" s="237"/>
    </row>
    <row r="658" spans="1:7" ht="27.6">
      <c r="A658" s="245">
        <v>170502</v>
      </c>
      <c r="B658" s="239" t="s">
        <v>1223</v>
      </c>
      <c r="C658" s="238" t="s">
        <v>15</v>
      </c>
      <c r="D658" s="240">
        <v>452500</v>
      </c>
      <c r="G658" s="237"/>
    </row>
    <row r="659" spans="1:7" ht="27.6">
      <c r="A659" s="245">
        <v>170503</v>
      </c>
      <c r="B659" s="239" t="s">
        <v>1224</v>
      </c>
      <c r="C659" s="238" t="s">
        <v>15</v>
      </c>
      <c r="D659" s="240">
        <v>452500</v>
      </c>
      <c r="G659" s="237"/>
    </row>
    <row r="660" spans="1:7">
      <c r="A660" s="245">
        <v>170601</v>
      </c>
      <c r="B660" s="239" t="s">
        <v>1225</v>
      </c>
      <c r="C660" s="238" t="s">
        <v>335</v>
      </c>
      <c r="D660" s="240">
        <v>29400</v>
      </c>
      <c r="G660" s="237"/>
    </row>
    <row r="661" spans="1:7" ht="27.6">
      <c r="A661" s="245">
        <v>170602</v>
      </c>
      <c r="B661" s="239" t="s">
        <v>1226</v>
      </c>
      <c r="C661" s="238" t="s">
        <v>335</v>
      </c>
      <c r="D661" s="240">
        <v>11500</v>
      </c>
      <c r="G661" s="237"/>
    </row>
    <row r="662" spans="1:7">
      <c r="A662" s="245">
        <v>170701</v>
      </c>
      <c r="B662" s="239" t="s">
        <v>1227</v>
      </c>
      <c r="C662" s="238" t="s">
        <v>335</v>
      </c>
      <c r="D662" s="240">
        <v>194500</v>
      </c>
      <c r="G662" s="237"/>
    </row>
    <row r="663" spans="1:7">
      <c r="A663" s="245">
        <v>170702</v>
      </c>
      <c r="B663" s="239" t="s">
        <v>1228</v>
      </c>
      <c r="C663" s="238" t="s">
        <v>335</v>
      </c>
      <c r="D663" s="240">
        <v>293000</v>
      </c>
      <c r="G663" s="237"/>
    </row>
    <row r="664" spans="1:7">
      <c r="A664" s="245">
        <v>170901</v>
      </c>
      <c r="B664" s="239" t="s">
        <v>1229</v>
      </c>
      <c r="C664" s="238" t="s">
        <v>335</v>
      </c>
      <c r="D664" s="240">
        <v>286500</v>
      </c>
      <c r="G664" s="237"/>
    </row>
    <row r="665" spans="1:7" ht="41.4">
      <c r="A665" s="245">
        <v>171001</v>
      </c>
      <c r="B665" s="239" t="s">
        <v>1230</v>
      </c>
      <c r="C665" s="238" t="s">
        <v>15</v>
      </c>
      <c r="D665" s="240">
        <v>696000</v>
      </c>
      <c r="G665" s="237"/>
    </row>
    <row r="666" spans="1:7" ht="41.4">
      <c r="A666" s="245">
        <v>171002</v>
      </c>
      <c r="B666" s="239" t="s">
        <v>1231</v>
      </c>
      <c r="C666" s="238" t="s">
        <v>15</v>
      </c>
      <c r="D666" s="240">
        <v>645500</v>
      </c>
      <c r="G666" s="237"/>
    </row>
    <row r="667" spans="1:7" ht="41.4">
      <c r="A667" s="245">
        <v>171003</v>
      </c>
      <c r="B667" s="239" t="s">
        <v>1232</v>
      </c>
      <c r="C667" s="238" t="s">
        <v>15</v>
      </c>
      <c r="D667" s="240">
        <v>958000</v>
      </c>
      <c r="G667" s="237"/>
    </row>
    <row r="668" spans="1:7" ht="41.4">
      <c r="A668" s="245">
        <v>171004</v>
      </c>
      <c r="B668" s="239" t="s">
        <v>1233</v>
      </c>
      <c r="C668" s="238" t="s">
        <v>15</v>
      </c>
      <c r="D668" s="240">
        <v>48100</v>
      </c>
      <c r="G668" s="237"/>
    </row>
    <row r="669" spans="1:7" ht="27.6">
      <c r="A669" s="245">
        <v>171101</v>
      </c>
      <c r="B669" s="239" t="s">
        <v>1234</v>
      </c>
      <c r="C669" s="238" t="s">
        <v>15</v>
      </c>
      <c r="D669" s="240"/>
      <c r="G669" s="237"/>
    </row>
    <row r="670" spans="1:7" ht="41.4">
      <c r="A670" s="245">
        <v>171102</v>
      </c>
      <c r="B670" s="239" t="s">
        <v>1235</v>
      </c>
      <c r="C670" s="238" t="s">
        <v>15</v>
      </c>
      <c r="D670" s="240"/>
      <c r="G670" s="237"/>
    </row>
    <row r="671" spans="1:7" ht="41.4">
      <c r="A671" s="245">
        <v>171103</v>
      </c>
      <c r="B671" s="239" t="s">
        <v>1236</v>
      </c>
      <c r="C671" s="238" t="s">
        <v>15</v>
      </c>
      <c r="D671" s="240"/>
      <c r="G671" s="237"/>
    </row>
    <row r="672" spans="1:7" ht="27.6">
      <c r="A672" s="245">
        <v>180101</v>
      </c>
      <c r="B672" s="239" t="s">
        <v>1237</v>
      </c>
      <c r="C672" s="238" t="s">
        <v>15</v>
      </c>
      <c r="D672" s="240">
        <v>12100</v>
      </c>
      <c r="G672" s="237"/>
    </row>
    <row r="673" spans="1:7">
      <c r="A673" s="245">
        <v>180201</v>
      </c>
      <c r="B673" s="239" t="s">
        <v>1238</v>
      </c>
      <c r="C673" s="238" t="s">
        <v>15</v>
      </c>
      <c r="D673" s="240">
        <v>22300</v>
      </c>
      <c r="G673" s="237"/>
    </row>
    <row r="674" spans="1:7">
      <c r="A674" s="245">
        <v>180202</v>
      </c>
      <c r="B674" s="239" t="s">
        <v>1239</v>
      </c>
      <c r="C674" s="238" t="s">
        <v>15</v>
      </c>
      <c r="D674" s="240">
        <v>65800</v>
      </c>
      <c r="G674" s="237"/>
    </row>
    <row r="675" spans="1:7">
      <c r="A675" s="245">
        <v>180203</v>
      </c>
      <c r="B675" s="239" t="s">
        <v>1240</v>
      </c>
      <c r="C675" s="238" t="s">
        <v>15</v>
      </c>
      <c r="D675" s="240">
        <v>88600</v>
      </c>
      <c r="G675" s="237"/>
    </row>
    <row r="676" spans="1:7">
      <c r="A676" s="245">
        <v>180204</v>
      </c>
      <c r="B676" s="239" t="s">
        <v>1241</v>
      </c>
      <c r="C676" s="238" t="s">
        <v>15</v>
      </c>
      <c r="D676" s="240">
        <v>59700</v>
      </c>
      <c r="G676" s="237"/>
    </row>
    <row r="677" spans="1:7">
      <c r="A677" s="245">
        <v>180205</v>
      </c>
      <c r="B677" s="239" t="s">
        <v>1242</v>
      </c>
      <c r="C677" s="238" t="s">
        <v>15</v>
      </c>
      <c r="D677" s="240">
        <v>78800</v>
      </c>
      <c r="G677" s="237"/>
    </row>
    <row r="678" spans="1:7">
      <c r="A678" s="245">
        <v>180206</v>
      </c>
      <c r="B678" s="239" t="s">
        <v>1243</v>
      </c>
      <c r="C678" s="238" t="s">
        <v>242</v>
      </c>
      <c r="D678" s="240">
        <v>8750</v>
      </c>
      <c r="G678" s="237"/>
    </row>
    <row r="679" spans="1:7">
      <c r="A679" s="245">
        <v>180207</v>
      </c>
      <c r="B679" s="239" t="s">
        <v>1244</v>
      </c>
      <c r="C679" s="238" t="s">
        <v>15</v>
      </c>
      <c r="D679" s="240">
        <v>70400</v>
      </c>
      <c r="G679" s="237"/>
    </row>
    <row r="680" spans="1:7">
      <c r="A680" s="245">
        <v>180301</v>
      </c>
      <c r="B680" s="239" t="s">
        <v>1245</v>
      </c>
      <c r="C680" s="238" t="s">
        <v>15</v>
      </c>
      <c r="D680" s="240">
        <v>9780</v>
      </c>
      <c r="G680" s="237"/>
    </row>
    <row r="681" spans="1:7">
      <c r="A681" s="245">
        <v>180302</v>
      </c>
      <c r="B681" s="239" t="s">
        <v>1246</v>
      </c>
      <c r="C681" s="238" t="s">
        <v>15</v>
      </c>
      <c r="D681" s="240">
        <v>20200</v>
      </c>
      <c r="G681" s="237"/>
    </row>
    <row r="682" spans="1:7" ht="27.6">
      <c r="A682" s="245">
        <v>180303</v>
      </c>
      <c r="B682" s="239" t="s">
        <v>1247</v>
      </c>
      <c r="C682" s="238" t="s">
        <v>15</v>
      </c>
      <c r="D682" s="240">
        <v>63800</v>
      </c>
      <c r="G682" s="237"/>
    </row>
    <row r="683" spans="1:7" ht="27.6">
      <c r="A683" s="245">
        <v>180304</v>
      </c>
      <c r="B683" s="239" t="s">
        <v>1248</v>
      </c>
      <c r="C683" s="238" t="s">
        <v>15</v>
      </c>
      <c r="D683" s="240">
        <v>82700</v>
      </c>
      <c r="G683" s="237"/>
    </row>
    <row r="684" spans="1:7" ht="27.6">
      <c r="A684" s="245">
        <v>180305</v>
      </c>
      <c r="B684" s="239" t="s">
        <v>1249</v>
      </c>
      <c r="C684" s="238" t="s">
        <v>15</v>
      </c>
      <c r="D684" s="240">
        <v>98800</v>
      </c>
      <c r="G684" s="237"/>
    </row>
    <row r="685" spans="1:7" ht="27.6">
      <c r="A685" s="245">
        <v>180306</v>
      </c>
      <c r="B685" s="239" t="s">
        <v>1250</v>
      </c>
      <c r="C685" s="238" t="s">
        <v>15</v>
      </c>
      <c r="D685" s="240">
        <v>117500</v>
      </c>
      <c r="G685" s="237"/>
    </row>
    <row r="686" spans="1:7" ht="27.6">
      <c r="A686" s="245">
        <v>180307</v>
      </c>
      <c r="B686" s="239" t="s">
        <v>1251</v>
      </c>
      <c r="C686" s="238" t="s">
        <v>15</v>
      </c>
      <c r="D686" s="240">
        <v>52200</v>
      </c>
      <c r="G686" s="237"/>
    </row>
    <row r="687" spans="1:7" ht="27.6">
      <c r="A687" s="245">
        <v>180308</v>
      </c>
      <c r="B687" s="239" t="s">
        <v>1252</v>
      </c>
      <c r="C687" s="238" t="s">
        <v>15</v>
      </c>
      <c r="D687" s="240">
        <v>67100</v>
      </c>
      <c r="G687" s="237"/>
    </row>
    <row r="688" spans="1:7" ht="27.6">
      <c r="A688" s="245">
        <v>180309</v>
      </c>
      <c r="B688" s="239" t="s">
        <v>1253</v>
      </c>
      <c r="C688" s="238" t="s">
        <v>15</v>
      </c>
      <c r="D688" s="240">
        <v>81600</v>
      </c>
      <c r="G688" s="237"/>
    </row>
    <row r="689" spans="1:7" ht="27.6">
      <c r="A689" s="245">
        <v>180310</v>
      </c>
      <c r="B689" s="239" t="s">
        <v>1254</v>
      </c>
      <c r="C689" s="238" t="s">
        <v>15</v>
      </c>
      <c r="D689" s="240">
        <v>99300</v>
      </c>
      <c r="G689" s="237"/>
    </row>
    <row r="690" spans="1:7" ht="27.6">
      <c r="A690" s="245">
        <v>180311</v>
      </c>
      <c r="B690" s="239" t="s">
        <v>1255</v>
      </c>
      <c r="C690" s="238" t="s">
        <v>15</v>
      </c>
      <c r="D690" s="240">
        <v>95300</v>
      </c>
      <c r="G690" s="237"/>
    </row>
    <row r="691" spans="1:7" ht="27.6">
      <c r="A691" s="245">
        <v>180312</v>
      </c>
      <c r="B691" s="239" t="s">
        <v>1256</v>
      </c>
      <c r="C691" s="238" t="s">
        <v>15</v>
      </c>
      <c r="D691" s="240">
        <v>121000</v>
      </c>
      <c r="G691" s="237"/>
    </row>
    <row r="692" spans="1:7" ht="27.6">
      <c r="A692" s="245">
        <v>180313</v>
      </c>
      <c r="B692" s="239" t="s">
        <v>1257</v>
      </c>
      <c r="C692" s="238" t="s">
        <v>15</v>
      </c>
      <c r="D692" s="240">
        <v>150500</v>
      </c>
      <c r="G692" s="237"/>
    </row>
    <row r="693" spans="1:7" ht="27.6">
      <c r="A693" s="245">
        <v>180314</v>
      </c>
      <c r="B693" s="239" t="s">
        <v>1258</v>
      </c>
      <c r="C693" s="238" t="s">
        <v>15</v>
      </c>
      <c r="D693" s="240">
        <v>203500</v>
      </c>
      <c r="G693" s="237"/>
    </row>
    <row r="694" spans="1:7" ht="41.4">
      <c r="A694" s="245">
        <v>180315</v>
      </c>
      <c r="B694" s="239" t="s">
        <v>1259</v>
      </c>
      <c r="C694" s="238" t="s">
        <v>15</v>
      </c>
      <c r="D694" s="240">
        <v>1</v>
      </c>
      <c r="G694" s="237"/>
    </row>
    <row r="695" spans="1:7" ht="41.4">
      <c r="A695" s="245">
        <v>180316</v>
      </c>
      <c r="B695" s="239" t="s">
        <v>1260</v>
      </c>
      <c r="C695" s="238" t="s">
        <v>15</v>
      </c>
      <c r="D695" s="240">
        <v>1</v>
      </c>
      <c r="G695" s="237"/>
    </row>
    <row r="696" spans="1:7" ht="27.6">
      <c r="A696" s="245">
        <v>180317</v>
      </c>
      <c r="B696" s="239" t="s">
        <v>1261</v>
      </c>
      <c r="C696" s="238" t="s">
        <v>15</v>
      </c>
      <c r="D696" s="240">
        <v>10500</v>
      </c>
      <c r="G696" s="237"/>
    </row>
    <row r="697" spans="1:7" ht="27.6">
      <c r="A697" s="245">
        <v>180318</v>
      </c>
      <c r="B697" s="239" t="s">
        <v>1262</v>
      </c>
      <c r="C697" s="238" t="s">
        <v>15</v>
      </c>
      <c r="D697" s="240">
        <v>34900</v>
      </c>
      <c r="G697" s="237"/>
    </row>
    <row r="698" spans="1:7" ht="27.6">
      <c r="A698" s="245">
        <v>180319</v>
      </c>
      <c r="B698" s="239" t="s">
        <v>1263</v>
      </c>
      <c r="C698" s="238" t="s">
        <v>15</v>
      </c>
      <c r="D698" s="240">
        <v>25100</v>
      </c>
      <c r="G698" s="237"/>
    </row>
    <row r="699" spans="1:7" ht="41.4">
      <c r="A699" s="245">
        <v>180401</v>
      </c>
      <c r="B699" s="239" t="s">
        <v>1264</v>
      </c>
      <c r="C699" s="238" t="s">
        <v>15</v>
      </c>
      <c r="D699" s="240">
        <v>56900</v>
      </c>
      <c r="G699" s="237"/>
    </row>
    <row r="700" spans="1:7" ht="27.6">
      <c r="A700" s="245">
        <v>180402</v>
      </c>
      <c r="B700" s="239" t="s">
        <v>1265</v>
      </c>
      <c r="C700" s="238" t="s">
        <v>15</v>
      </c>
      <c r="D700" s="240">
        <v>84600</v>
      </c>
      <c r="G700" s="237"/>
    </row>
    <row r="701" spans="1:7" ht="27.6">
      <c r="A701" s="245">
        <v>180403</v>
      </c>
      <c r="B701" s="239" t="s">
        <v>1266</v>
      </c>
      <c r="C701" s="238" t="s">
        <v>15</v>
      </c>
      <c r="D701" s="240">
        <v>1430</v>
      </c>
      <c r="G701" s="237"/>
    </row>
    <row r="702" spans="1:7" ht="27.6">
      <c r="A702" s="245">
        <v>180404</v>
      </c>
      <c r="B702" s="239" t="s">
        <v>1267</v>
      </c>
      <c r="C702" s="238" t="s">
        <v>15</v>
      </c>
      <c r="D702" s="240">
        <v>1130</v>
      </c>
      <c r="G702" s="237"/>
    </row>
    <row r="703" spans="1:7" ht="41.4">
      <c r="A703" s="245">
        <v>180501</v>
      </c>
      <c r="B703" s="239" t="s">
        <v>1268</v>
      </c>
      <c r="C703" s="238" t="s">
        <v>15</v>
      </c>
      <c r="D703" s="240">
        <v>41300</v>
      </c>
      <c r="G703" s="237"/>
    </row>
    <row r="704" spans="1:7" ht="41.4">
      <c r="A704" s="245">
        <v>180502</v>
      </c>
      <c r="B704" s="239" t="s">
        <v>1269</v>
      </c>
      <c r="C704" s="238" t="s">
        <v>15</v>
      </c>
      <c r="D704" s="240">
        <v>47300</v>
      </c>
      <c r="G704" s="237"/>
    </row>
    <row r="705" spans="1:7" ht="41.4">
      <c r="A705" s="245">
        <v>180503</v>
      </c>
      <c r="B705" s="239" t="s">
        <v>1270</v>
      </c>
      <c r="C705" s="238" t="s">
        <v>15</v>
      </c>
      <c r="D705" s="240">
        <v>36500</v>
      </c>
      <c r="G705" s="237"/>
    </row>
    <row r="706" spans="1:7" ht="27.6">
      <c r="A706" s="245">
        <v>180504</v>
      </c>
      <c r="B706" s="239" t="s">
        <v>1271</v>
      </c>
      <c r="C706" s="238" t="s">
        <v>15</v>
      </c>
      <c r="D706" s="240">
        <v>65200</v>
      </c>
      <c r="G706" s="237"/>
    </row>
    <row r="707" spans="1:7" ht="27.6">
      <c r="A707" s="245">
        <v>180505</v>
      </c>
      <c r="B707" s="239" t="s">
        <v>1272</v>
      </c>
      <c r="C707" s="238" t="s">
        <v>15</v>
      </c>
      <c r="D707" s="240">
        <v>58200</v>
      </c>
      <c r="G707" s="237"/>
    </row>
    <row r="708" spans="1:7" ht="27.6">
      <c r="A708" s="245">
        <v>180601</v>
      </c>
      <c r="B708" s="239" t="s">
        <v>1273</v>
      </c>
      <c r="C708" s="238" t="s">
        <v>15</v>
      </c>
      <c r="D708" s="240">
        <v>353500</v>
      </c>
      <c r="G708" s="237"/>
    </row>
    <row r="709" spans="1:7" ht="27.6">
      <c r="A709" s="245">
        <v>180602</v>
      </c>
      <c r="B709" s="239" t="s">
        <v>1274</v>
      </c>
      <c r="C709" s="238" t="s">
        <v>15</v>
      </c>
      <c r="D709" s="240">
        <v>351500</v>
      </c>
      <c r="G709" s="237"/>
    </row>
    <row r="710" spans="1:7" ht="41.4">
      <c r="A710" s="245">
        <v>180603</v>
      </c>
      <c r="B710" s="239" t="s">
        <v>1275</v>
      </c>
      <c r="C710" s="238" t="s">
        <v>15</v>
      </c>
      <c r="D710" s="240">
        <v>453000</v>
      </c>
      <c r="G710" s="237"/>
    </row>
    <row r="711" spans="1:7" ht="41.4">
      <c r="A711" s="245">
        <v>180604</v>
      </c>
      <c r="B711" s="239" t="s">
        <v>1276</v>
      </c>
      <c r="C711" s="238" t="s">
        <v>15</v>
      </c>
      <c r="D711" s="240">
        <v>354500</v>
      </c>
      <c r="G711" s="237"/>
    </row>
    <row r="712" spans="1:7" ht="27.6">
      <c r="A712" s="245">
        <v>180605</v>
      </c>
      <c r="B712" s="239" t="s">
        <v>1277</v>
      </c>
      <c r="C712" s="238" t="s">
        <v>15</v>
      </c>
      <c r="D712" s="240">
        <v>4000</v>
      </c>
      <c r="G712" s="237"/>
    </row>
    <row r="713" spans="1:7" ht="27.6">
      <c r="A713" s="245">
        <v>180606</v>
      </c>
      <c r="B713" s="239" t="s">
        <v>1278</v>
      </c>
      <c r="C713" s="238" t="s">
        <v>15</v>
      </c>
      <c r="D713" s="240">
        <v>3260</v>
      </c>
      <c r="G713" s="237"/>
    </row>
    <row r="714" spans="1:7" ht="27.6">
      <c r="A714" s="245">
        <v>180607</v>
      </c>
      <c r="B714" s="239" t="s">
        <v>1279</v>
      </c>
      <c r="C714" s="238" t="s">
        <v>15</v>
      </c>
      <c r="D714" s="240">
        <v>114000</v>
      </c>
      <c r="G714" s="237"/>
    </row>
    <row r="715" spans="1:7" ht="41.4">
      <c r="A715" s="245">
        <v>180701</v>
      </c>
      <c r="B715" s="239" t="s">
        <v>1280</v>
      </c>
      <c r="C715" s="238" t="s">
        <v>158</v>
      </c>
      <c r="D715" s="240">
        <v>5115000</v>
      </c>
      <c r="G715" s="237"/>
    </row>
    <row r="716" spans="1:7" ht="41.4">
      <c r="A716" s="245">
        <v>180704</v>
      </c>
      <c r="B716" s="239" t="s">
        <v>1281</v>
      </c>
      <c r="C716" s="238" t="s">
        <v>158</v>
      </c>
      <c r="D716" s="240">
        <v>7666000</v>
      </c>
      <c r="G716" s="237"/>
    </row>
    <row r="717" spans="1:7">
      <c r="A717" s="245">
        <v>180801</v>
      </c>
      <c r="B717" s="239" t="s">
        <v>1282</v>
      </c>
      <c r="C717" s="238" t="s">
        <v>15</v>
      </c>
      <c r="D717" s="240">
        <v>55500</v>
      </c>
      <c r="G717" s="237"/>
    </row>
    <row r="718" spans="1:7">
      <c r="A718" s="245">
        <v>180802</v>
      </c>
      <c r="B718" s="239" t="s">
        <v>1283</v>
      </c>
      <c r="C718" s="238" t="s">
        <v>15</v>
      </c>
      <c r="D718" s="240">
        <v>51200</v>
      </c>
      <c r="G718" s="237"/>
    </row>
    <row r="719" spans="1:7">
      <c r="A719" s="245">
        <v>180803</v>
      </c>
      <c r="B719" s="239" t="s">
        <v>1284</v>
      </c>
      <c r="C719" s="238" t="s">
        <v>15</v>
      </c>
      <c r="D719" s="240">
        <v>55700</v>
      </c>
      <c r="G719" s="237"/>
    </row>
    <row r="720" spans="1:7">
      <c r="A720" s="245">
        <v>180804</v>
      </c>
      <c r="B720" s="239" t="s">
        <v>1285</v>
      </c>
      <c r="C720" s="238" t="s">
        <v>15</v>
      </c>
      <c r="D720" s="240">
        <v>48200</v>
      </c>
      <c r="G720" s="237"/>
    </row>
    <row r="721" spans="1:7">
      <c r="A721" s="245">
        <v>180805</v>
      </c>
      <c r="B721" s="239" t="s">
        <v>1286</v>
      </c>
      <c r="C721" s="238" t="s">
        <v>15</v>
      </c>
      <c r="D721" s="240">
        <v>31500</v>
      </c>
      <c r="G721" s="237"/>
    </row>
    <row r="722" spans="1:7">
      <c r="A722" s="245">
        <v>180806</v>
      </c>
      <c r="B722" s="239" t="s">
        <v>1287</v>
      </c>
      <c r="C722" s="238" t="s">
        <v>15</v>
      </c>
      <c r="D722" s="240">
        <v>55900</v>
      </c>
      <c r="G722" s="237"/>
    </row>
    <row r="723" spans="1:7" ht="27.6">
      <c r="A723" s="245">
        <v>180807</v>
      </c>
      <c r="B723" s="239" t="s">
        <v>1288</v>
      </c>
      <c r="C723" s="238" t="s">
        <v>15</v>
      </c>
      <c r="D723" s="240">
        <v>32700</v>
      </c>
      <c r="G723" s="237"/>
    </row>
    <row r="724" spans="1:7" ht="27.6">
      <c r="A724" s="245">
        <v>180808</v>
      </c>
      <c r="B724" s="239" t="s">
        <v>1289</v>
      </c>
      <c r="C724" s="238" t="s">
        <v>15</v>
      </c>
      <c r="D724" s="240">
        <v>40100</v>
      </c>
      <c r="G724" s="237"/>
    </row>
    <row r="725" spans="1:7" ht="41.4">
      <c r="A725" s="245">
        <v>180901</v>
      </c>
      <c r="B725" s="239" t="s">
        <v>1290</v>
      </c>
      <c r="C725" s="238" t="s">
        <v>15</v>
      </c>
      <c r="D725" s="240">
        <v>372500</v>
      </c>
      <c r="G725" s="237"/>
    </row>
    <row r="726" spans="1:7" ht="27.6">
      <c r="A726" s="245">
        <v>180902</v>
      </c>
      <c r="B726" s="239" t="s">
        <v>1291</v>
      </c>
      <c r="C726" s="238" t="s">
        <v>15</v>
      </c>
      <c r="D726" s="240">
        <v>285000</v>
      </c>
      <c r="G726" s="237"/>
    </row>
    <row r="727" spans="1:7" ht="27.6">
      <c r="A727" s="245">
        <v>180903</v>
      </c>
      <c r="B727" s="239" t="s">
        <v>1292</v>
      </c>
      <c r="C727" s="238" t="s">
        <v>15</v>
      </c>
      <c r="D727" s="240">
        <v>121000</v>
      </c>
      <c r="G727" s="237"/>
    </row>
    <row r="728" spans="1:7" ht="27.6">
      <c r="A728" s="245">
        <v>180904</v>
      </c>
      <c r="B728" s="239" t="s">
        <v>1293</v>
      </c>
      <c r="C728" s="238" t="s">
        <v>15</v>
      </c>
      <c r="D728" s="240">
        <v>125000</v>
      </c>
      <c r="G728" s="237"/>
    </row>
    <row r="729" spans="1:7" ht="27.6">
      <c r="A729" s="245">
        <v>180909</v>
      </c>
      <c r="B729" s="239" t="s">
        <v>1294</v>
      </c>
      <c r="C729" s="238" t="s">
        <v>15</v>
      </c>
      <c r="D729" s="240">
        <v>17500</v>
      </c>
      <c r="G729" s="237"/>
    </row>
    <row r="730" spans="1:7" ht="27.6">
      <c r="A730" s="245">
        <v>180910</v>
      </c>
      <c r="B730" s="239" t="s">
        <v>1295</v>
      </c>
      <c r="C730" s="238" t="s">
        <v>15</v>
      </c>
      <c r="D730" s="240">
        <v>75000</v>
      </c>
      <c r="G730" s="237"/>
    </row>
    <row r="731" spans="1:7" ht="27.6">
      <c r="A731" s="245">
        <v>181001</v>
      </c>
      <c r="B731" s="239" t="s">
        <v>1296</v>
      </c>
      <c r="C731" s="238" t="s">
        <v>15</v>
      </c>
      <c r="D731" s="240">
        <v>54200</v>
      </c>
      <c r="G731" s="237"/>
    </row>
    <row r="732" spans="1:7" ht="27.6">
      <c r="A732" s="245">
        <v>181002</v>
      </c>
      <c r="B732" s="239" t="s">
        <v>1297</v>
      </c>
      <c r="C732" s="238" t="s">
        <v>15</v>
      </c>
      <c r="D732" s="240">
        <v>6470</v>
      </c>
      <c r="G732" s="237"/>
    </row>
    <row r="733" spans="1:7" ht="27.6">
      <c r="A733" s="245">
        <v>181003</v>
      </c>
      <c r="B733" s="239" t="s">
        <v>1298</v>
      </c>
      <c r="C733" s="238" t="s">
        <v>15</v>
      </c>
      <c r="D733" s="240">
        <v>3230</v>
      </c>
      <c r="G733" s="237"/>
    </row>
    <row r="734" spans="1:7" ht="27.6">
      <c r="A734" s="245">
        <v>181101</v>
      </c>
      <c r="B734" s="239" t="s">
        <v>1299</v>
      </c>
      <c r="C734" s="238" t="s">
        <v>15</v>
      </c>
      <c r="D734" s="240"/>
      <c r="G734" s="237"/>
    </row>
    <row r="735" spans="1:7" ht="27.6">
      <c r="A735" s="245">
        <v>181102</v>
      </c>
      <c r="B735" s="239" t="s">
        <v>1300</v>
      </c>
      <c r="C735" s="238" t="s">
        <v>15</v>
      </c>
      <c r="D735" s="240"/>
      <c r="G735" s="237"/>
    </row>
    <row r="736" spans="1:7" ht="41.4">
      <c r="A736" s="245">
        <v>190101</v>
      </c>
      <c r="B736" s="239" t="s">
        <v>1301</v>
      </c>
      <c r="C736" s="238" t="s">
        <v>242</v>
      </c>
      <c r="D736" s="240">
        <v>240000</v>
      </c>
      <c r="G736" s="237"/>
    </row>
    <row r="737" spans="1:7" ht="41.4">
      <c r="A737" s="245">
        <v>190102</v>
      </c>
      <c r="B737" s="239" t="s">
        <v>1302</v>
      </c>
      <c r="C737" s="238" t="s">
        <v>242</v>
      </c>
      <c r="D737" s="240">
        <v>271000</v>
      </c>
      <c r="G737" s="237"/>
    </row>
    <row r="738" spans="1:7" ht="41.4">
      <c r="A738" s="245">
        <v>190103</v>
      </c>
      <c r="B738" s="239" t="s">
        <v>1303</v>
      </c>
      <c r="C738" s="238" t="s">
        <v>242</v>
      </c>
      <c r="D738" s="240">
        <v>182500</v>
      </c>
      <c r="G738" s="237"/>
    </row>
    <row r="739" spans="1:7" ht="41.4">
      <c r="A739" s="245">
        <v>190104</v>
      </c>
      <c r="B739" s="239" t="s">
        <v>1304</v>
      </c>
      <c r="C739" s="238" t="s">
        <v>242</v>
      </c>
      <c r="D739" s="240">
        <v>199000</v>
      </c>
      <c r="G739" s="237"/>
    </row>
    <row r="740" spans="1:7" ht="41.4">
      <c r="A740" s="245">
        <v>190201</v>
      </c>
      <c r="B740" s="239" t="s">
        <v>1305</v>
      </c>
      <c r="C740" s="238" t="s">
        <v>15</v>
      </c>
      <c r="D740" s="240">
        <v>169500</v>
      </c>
      <c r="G740" s="237"/>
    </row>
    <row r="741" spans="1:7" ht="41.4">
      <c r="A741" s="245">
        <v>190202</v>
      </c>
      <c r="B741" s="239" t="s">
        <v>1306</v>
      </c>
      <c r="C741" s="238" t="s">
        <v>15</v>
      </c>
      <c r="D741" s="240">
        <v>176000</v>
      </c>
      <c r="G741" s="237"/>
    </row>
    <row r="742" spans="1:7" ht="27.6">
      <c r="A742" s="245">
        <v>190301</v>
      </c>
      <c r="B742" s="239" t="s">
        <v>1307</v>
      </c>
      <c r="C742" s="238" t="s">
        <v>15</v>
      </c>
      <c r="D742" s="240">
        <v>64100</v>
      </c>
      <c r="G742" s="237"/>
    </row>
    <row r="743" spans="1:7" ht="27.6">
      <c r="A743" s="245">
        <v>190302</v>
      </c>
      <c r="B743" s="239" t="s">
        <v>1308</v>
      </c>
      <c r="C743" s="238" t="s">
        <v>15</v>
      </c>
      <c r="D743" s="240">
        <v>173500</v>
      </c>
      <c r="G743" s="237"/>
    </row>
    <row r="744" spans="1:7" ht="27.6">
      <c r="A744" s="245">
        <v>190303</v>
      </c>
      <c r="B744" s="239" t="s">
        <v>1309</v>
      </c>
      <c r="C744" s="238" t="s">
        <v>15</v>
      </c>
      <c r="D744" s="240">
        <v>187500</v>
      </c>
      <c r="G744" s="237"/>
    </row>
    <row r="745" spans="1:7" ht="27.6">
      <c r="A745" s="245">
        <v>190304</v>
      </c>
      <c r="B745" s="239" t="s">
        <v>1310</v>
      </c>
      <c r="C745" s="238" t="s">
        <v>15</v>
      </c>
      <c r="D745" s="240">
        <v>168500</v>
      </c>
      <c r="G745" s="237"/>
    </row>
    <row r="746" spans="1:7" ht="27.6">
      <c r="A746" s="245">
        <v>190305</v>
      </c>
      <c r="B746" s="239" t="s">
        <v>1311</v>
      </c>
      <c r="C746" s="238" t="s">
        <v>15</v>
      </c>
      <c r="D746" s="240">
        <v>23700</v>
      </c>
      <c r="G746" s="237"/>
    </row>
    <row r="747" spans="1:7" ht="27.6">
      <c r="A747" s="245">
        <v>190401</v>
      </c>
      <c r="B747" s="239" t="s">
        <v>1312</v>
      </c>
      <c r="C747" s="238" t="s">
        <v>15</v>
      </c>
      <c r="D747" s="240">
        <v>391000</v>
      </c>
      <c r="G747" s="237"/>
    </row>
    <row r="748" spans="1:7" ht="27.6">
      <c r="A748" s="245">
        <v>190402</v>
      </c>
      <c r="B748" s="239" t="s">
        <v>1313</v>
      </c>
      <c r="C748" s="238" t="s">
        <v>15</v>
      </c>
      <c r="D748" s="240">
        <v>136500</v>
      </c>
      <c r="G748" s="237"/>
    </row>
    <row r="749" spans="1:7" ht="27.6">
      <c r="A749" s="245">
        <v>190403</v>
      </c>
      <c r="B749" s="239" t="s">
        <v>1314</v>
      </c>
      <c r="C749" s="238" t="s">
        <v>15</v>
      </c>
      <c r="D749" s="240">
        <v>106000</v>
      </c>
      <c r="G749" s="237"/>
    </row>
    <row r="750" spans="1:7" ht="27.6">
      <c r="A750" s="245">
        <v>190404</v>
      </c>
      <c r="B750" s="239" t="s">
        <v>1315</v>
      </c>
      <c r="C750" s="238" t="s">
        <v>15</v>
      </c>
      <c r="D750" s="240">
        <v>178500</v>
      </c>
      <c r="G750" s="237"/>
    </row>
    <row r="751" spans="1:7">
      <c r="A751" s="245">
        <v>190501</v>
      </c>
      <c r="B751" s="239" t="s">
        <v>1316</v>
      </c>
      <c r="C751" s="238" t="s">
        <v>1317</v>
      </c>
      <c r="D751" s="240">
        <v>144500</v>
      </c>
      <c r="G751" s="237"/>
    </row>
    <row r="752" spans="1:7">
      <c r="A752" s="245">
        <v>190502</v>
      </c>
      <c r="B752" s="239" t="s">
        <v>1318</v>
      </c>
      <c r="C752" s="238" t="s">
        <v>242</v>
      </c>
      <c r="D752" s="240">
        <v>9140</v>
      </c>
      <c r="G752" s="237"/>
    </row>
    <row r="753" spans="1:7" ht="27.6">
      <c r="A753" s="245">
        <v>190601</v>
      </c>
      <c r="B753" s="239" t="s">
        <v>1319</v>
      </c>
      <c r="C753" s="238" t="s">
        <v>242</v>
      </c>
      <c r="D753" s="240">
        <v>51700</v>
      </c>
      <c r="G753" s="237"/>
    </row>
    <row r="754" spans="1:7" ht="27.6">
      <c r="A754" s="245">
        <v>190602</v>
      </c>
      <c r="B754" s="239" t="s">
        <v>1320</v>
      </c>
      <c r="C754" s="238" t="s">
        <v>242</v>
      </c>
      <c r="D754" s="240">
        <v>45700</v>
      </c>
      <c r="G754" s="237"/>
    </row>
    <row r="755" spans="1:7" ht="27.6">
      <c r="A755" s="245">
        <v>190603</v>
      </c>
      <c r="B755" s="239" t="s">
        <v>1321</v>
      </c>
      <c r="C755" s="238" t="s">
        <v>242</v>
      </c>
      <c r="D755" s="240">
        <v>25600</v>
      </c>
      <c r="G755" s="237"/>
    </row>
    <row r="756" spans="1:7" ht="27.6">
      <c r="A756" s="245">
        <v>190604</v>
      </c>
      <c r="B756" s="239" t="s">
        <v>1322</v>
      </c>
      <c r="C756" s="238" t="s">
        <v>242</v>
      </c>
      <c r="D756" s="240">
        <v>31000</v>
      </c>
      <c r="G756" s="237"/>
    </row>
    <row r="757" spans="1:7" ht="27.6">
      <c r="A757" s="245">
        <v>190605</v>
      </c>
      <c r="B757" s="239" t="s">
        <v>1323</v>
      </c>
      <c r="C757" s="238" t="s">
        <v>242</v>
      </c>
      <c r="D757" s="240">
        <v>55400</v>
      </c>
      <c r="G757" s="237"/>
    </row>
    <row r="758" spans="1:7" ht="41.4">
      <c r="A758" s="245">
        <v>190701</v>
      </c>
      <c r="B758" s="239" t="s">
        <v>1324</v>
      </c>
      <c r="C758" s="238" t="s">
        <v>242</v>
      </c>
      <c r="D758" s="240">
        <v>109000</v>
      </c>
      <c r="G758" s="237"/>
    </row>
    <row r="759" spans="1:7" ht="27.6">
      <c r="A759" s="245">
        <v>190702</v>
      </c>
      <c r="B759" s="239" t="s">
        <v>1325</v>
      </c>
      <c r="C759" s="238" t="s">
        <v>15</v>
      </c>
      <c r="D759" s="240">
        <v>223500</v>
      </c>
      <c r="G759" s="237"/>
    </row>
    <row r="760" spans="1:7" ht="41.4">
      <c r="A760" s="245">
        <v>190703</v>
      </c>
      <c r="B760" s="239" t="s">
        <v>1326</v>
      </c>
      <c r="C760" s="238" t="s">
        <v>15</v>
      </c>
      <c r="D760" s="240">
        <v>678000</v>
      </c>
      <c r="G760" s="237"/>
    </row>
    <row r="761" spans="1:7" ht="41.4">
      <c r="A761" s="245">
        <v>190704</v>
      </c>
      <c r="B761" s="239" t="s">
        <v>1327</v>
      </c>
      <c r="C761" s="238" t="s">
        <v>15</v>
      </c>
      <c r="D761" s="240">
        <v>420500</v>
      </c>
      <c r="G761" s="237"/>
    </row>
    <row r="762" spans="1:7" ht="41.4">
      <c r="A762" s="245">
        <v>190705</v>
      </c>
      <c r="B762" s="239" t="s">
        <v>1328</v>
      </c>
      <c r="C762" s="238" t="s">
        <v>15</v>
      </c>
      <c r="D762" s="240">
        <v>380000</v>
      </c>
      <c r="G762" s="237"/>
    </row>
    <row r="763" spans="1:7" ht="27.6">
      <c r="A763" s="245">
        <v>190706</v>
      </c>
      <c r="B763" s="239" t="s">
        <v>1329</v>
      </c>
      <c r="C763" s="238" t="s">
        <v>15</v>
      </c>
      <c r="D763" s="240">
        <v>469500</v>
      </c>
      <c r="G763" s="237"/>
    </row>
    <row r="764" spans="1:7" ht="55.2">
      <c r="A764" s="245">
        <v>190707</v>
      </c>
      <c r="B764" s="239" t="s">
        <v>1330</v>
      </c>
      <c r="C764" s="238" t="s">
        <v>15</v>
      </c>
      <c r="D764" s="240">
        <v>443500</v>
      </c>
      <c r="G764" s="237"/>
    </row>
    <row r="765" spans="1:7" ht="55.2">
      <c r="A765" s="245">
        <v>190801</v>
      </c>
      <c r="B765" s="239" t="s">
        <v>1331</v>
      </c>
      <c r="C765" s="238" t="s">
        <v>15</v>
      </c>
      <c r="D765" s="240">
        <v>286000</v>
      </c>
      <c r="G765" s="237"/>
    </row>
    <row r="766" spans="1:7" ht="41.4">
      <c r="A766" s="245">
        <v>190802</v>
      </c>
      <c r="B766" s="239" t="s">
        <v>1332</v>
      </c>
      <c r="C766" s="238" t="s">
        <v>15</v>
      </c>
      <c r="D766" s="240">
        <v>543000</v>
      </c>
      <c r="G766" s="237"/>
    </row>
    <row r="767" spans="1:7" ht="41.4">
      <c r="A767" s="245">
        <v>190803</v>
      </c>
      <c r="B767" s="239" t="s">
        <v>1333</v>
      </c>
      <c r="C767" s="238" t="s">
        <v>15</v>
      </c>
      <c r="D767" s="240">
        <v>231000</v>
      </c>
      <c r="G767" s="237"/>
    </row>
    <row r="768" spans="1:7" ht="55.2">
      <c r="A768" s="245">
        <v>190804</v>
      </c>
      <c r="B768" s="239" t="s">
        <v>1334</v>
      </c>
      <c r="C768" s="238" t="s">
        <v>15</v>
      </c>
      <c r="D768" s="240">
        <v>302000</v>
      </c>
      <c r="G768" s="237"/>
    </row>
    <row r="769" spans="1:7" ht="41.4">
      <c r="A769" s="245">
        <v>190901</v>
      </c>
      <c r="B769" s="239" t="s">
        <v>1335</v>
      </c>
      <c r="C769" s="238" t="s">
        <v>15</v>
      </c>
      <c r="D769" s="240">
        <v>196500</v>
      </c>
      <c r="G769" s="237"/>
    </row>
    <row r="770" spans="1:7" ht="55.2">
      <c r="A770" s="245">
        <v>190902</v>
      </c>
      <c r="B770" s="239" t="s">
        <v>1336</v>
      </c>
      <c r="C770" s="238" t="s">
        <v>15</v>
      </c>
      <c r="D770" s="240">
        <v>191000</v>
      </c>
      <c r="G770" s="237"/>
    </row>
    <row r="771" spans="1:7" ht="55.2">
      <c r="A771" s="245">
        <v>190903</v>
      </c>
      <c r="B771" s="239" t="s">
        <v>1337</v>
      </c>
      <c r="C771" s="238" t="s">
        <v>15</v>
      </c>
      <c r="D771" s="240">
        <v>358000</v>
      </c>
      <c r="G771" s="237"/>
    </row>
    <row r="772" spans="1:7" ht="27.6">
      <c r="A772" s="245">
        <v>191001</v>
      </c>
      <c r="B772" s="239" t="s">
        <v>1338</v>
      </c>
      <c r="C772" s="238" t="s">
        <v>15</v>
      </c>
      <c r="D772" s="240">
        <v>220000</v>
      </c>
      <c r="G772" s="237"/>
    </row>
    <row r="773" spans="1:7" ht="27.6">
      <c r="A773" s="245">
        <v>191002</v>
      </c>
      <c r="B773" s="239" t="s">
        <v>1339</v>
      </c>
      <c r="C773" s="238" t="s">
        <v>15</v>
      </c>
      <c r="D773" s="240">
        <v>199000</v>
      </c>
      <c r="G773" s="237"/>
    </row>
    <row r="774" spans="1:7" ht="41.4">
      <c r="A774" s="245">
        <v>191003</v>
      </c>
      <c r="B774" s="239" t="s">
        <v>1340</v>
      </c>
      <c r="C774" s="238" t="s">
        <v>15</v>
      </c>
      <c r="D774" s="240">
        <v>128000</v>
      </c>
      <c r="G774" s="237"/>
    </row>
    <row r="775" spans="1:7" ht="55.2">
      <c r="A775" s="245">
        <v>191004</v>
      </c>
      <c r="B775" s="239" t="s">
        <v>1341</v>
      </c>
      <c r="C775" s="238" t="s">
        <v>15</v>
      </c>
      <c r="D775" s="240">
        <v>212000</v>
      </c>
      <c r="G775" s="237"/>
    </row>
    <row r="776" spans="1:7" ht="55.2">
      <c r="A776" s="245">
        <v>191005</v>
      </c>
      <c r="B776" s="239" t="s">
        <v>1342</v>
      </c>
      <c r="C776" s="238" t="s">
        <v>15</v>
      </c>
      <c r="D776" s="240">
        <v>354000</v>
      </c>
      <c r="G776" s="237"/>
    </row>
    <row r="777" spans="1:7" ht="27.6">
      <c r="A777" s="245">
        <v>191101</v>
      </c>
      <c r="B777" s="239" t="s">
        <v>1343</v>
      </c>
      <c r="C777" s="238" t="s">
        <v>242</v>
      </c>
      <c r="D777" s="240">
        <v>203000</v>
      </c>
      <c r="G777" s="237"/>
    </row>
    <row r="778" spans="1:7" ht="27.6">
      <c r="A778" s="245">
        <v>191102</v>
      </c>
      <c r="B778" s="239" t="s">
        <v>1344</v>
      </c>
      <c r="C778" s="238" t="s">
        <v>242</v>
      </c>
      <c r="D778" s="240">
        <v>214500</v>
      </c>
      <c r="G778" s="237"/>
    </row>
    <row r="779" spans="1:7" ht="27.6">
      <c r="A779" s="245">
        <v>191103</v>
      </c>
      <c r="B779" s="239" t="s">
        <v>1345</v>
      </c>
      <c r="C779" s="238" t="s">
        <v>15</v>
      </c>
      <c r="D779" s="240">
        <v>775500</v>
      </c>
      <c r="G779" s="237"/>
    </row>
    <row r="780" spans="1:7" ht="27.6">
      <c r="A780" s="245">
        <v>191104</v>
      </c>
      <c r="B780" s="239" t="s">
        <v>1346</v>
      </c>
      <c r="C780" s="238" t="s">
        <v>15</v>
      </c>
      <c r="D780" s="240">
        <v>692000</v>
      </c>
      <c r="G780" s="237"/>
    </row>
    <row r="781" spans="1:7" ht="27.6">
      <c r="A781" s="245">
        <v>191105</v>
      </c>
      <c r="B781" s="239" t="s">
        <v>1347</v>
      </c>
      <c r="C781" s="238" t="s">
        <v>15</v>
      </c>
      <c r="D781" s="240">
        <v>654000</v>
      </c>
      <c r="G781" s="237"/>
    </row>
    <row r="782" spans="1:7">
      <c r="A782" s="245">
        <v>191201</v>
      </c>
      <c r="B782" s="239" t="s">
        <v>1348</v>
      </c>
      <c r="C782" s="238" t="s">
        <v>15</v>
      </c>
      <c r="D782" s="240">
        <v>405000</v>
      </c>
      <c r="G782" s="237"/>
    </row>
    <row r="783" spans="1:7" ht="27.6">
      <c r="A783" s="245">
        <v>191202</v>
      </c>
      <c r="B783" s="239" t="s">
        <v>1349</v>
      </c>
      <c r="C783" s="238" t="s">
        <v>15</v>
      </c>
      <c r="D783" s="240">
        <v>70100</v>
      </c>
      <c r="G783" s="237"/>
    </row>
    <row r="784" spans="1:7" ht="41.4">
      <c r="A784" s="245">
        <v>191203</v>
      </c>
      <c r="B784" s="239" t="s">
        <v>1350</v>
      </c>
      <c r="C784" s="238" t="s">
        <v>15</v>
      </c>
      <c r="D784" s="240">
        <v>336500</v>
      </c>
      <c r="G784" s="237"/>
    </row>
    <row r="785" spans="1:7" ht="55.2">
      <c r="A785" s="245">
        <v>191301</v>
      </c>
      <c r="B785" s="239" t="s">
        <v>1351</v>
      </c>
      <c r="C785" s="238" t="s">
        <v>158</v>
      </c>
      <c r="D785" s="240">
        <v>13348000</v>
      </c>
      <c r="G785" s="237"/>
    </row>
    <row r="786" spans="1:7" ht="55.2">
      <c r="A786" s="245">
        <v>191302</v>
      </c>
      <c r="B786" s="239" t="s">
        <v>1352</v>
      </c>
      <c r="C786" s="238" t="s">
        <v>158</v>
      </c>
      <c r="D786" s="240">
        <v>16132000</v>
      </c>
      <c r="G786" s="237"/>
    </row>
    <row r="787" spans="1:7">
      <c r="A787" s="245">
        <v>191303</v>
      </c>
      <c r="B787" s="239" t="s">
        <v>1353</v>
      </c>
      <c r="C787" s="238" t="s">
        <v>15</v>
      </c>
      <c r="D787" s="240">
        <v>145000</v>
      </c>
      <c r="G787" s="237"/>
    </row>
    <row r="788" spans="1:7" ht="27.6">
      <c r="A788" s="245">
        <v>191304</v>
      </c>
      <c r="B788" s="239" t="s">
        <v>1354</v>
      </c>
      <c r="C788" s="238" t="s">
        <v>15</v>
      </c>
      <c r="D788" s="240">
        <v>476500</v>
      </c>
      <c r="G788" s="237"/>
    </row>
    <row r="789" spans="1:7" ht="27.6">
      <c r="A789" s="245">
        <v>191305</v>
      </c>
      <c r="B789" s="239" t="s">
        <v>1355</v>
      </c>
      <c r="C789" s="238" t="s">
        <v>15</v>
      </c>
      <c r="D789" s="240">
        <v>541500</v>
      </c>
      <c r="G789" s="237"/>
    </row>
    <row r="790" spans="1:7" ht="27.6">
      <c r="A790" s="245">
        <v>191306</v>
      </c>
      <c r="B790" s="239" t="s">
        <v>1356</v>
      </c>
      <c r="C790" s="238" t="s">
        <v>242</v>
      </c>
      <c r="D790" s="240">
        <v>281000</v>
      </c>
      <c r="G790" s="237"/>
    </row>
    <row r="791" spans="1:7" ht="27.6">
      <c r="A791" s="245">
        <v>191307</v>
      </c>
      <c r="B791" s="239" t="s">
        <v>1357</v>
      </c>
      <c r="C791" s="238" t="s">
        <v>242</v>
      </c>
      <c r="D791" s="240">
        <v>352500</v>
      </c>
      <c r="G791" s="237"/>
    </row>
    <row r="792" spans="1:7">
      <c r="A792" s="245">
        <v>191401</v>
      </c>
      <c r="B792" s="239" t="s">
        <v>1358</v>
      </c>
      <c r="C792" s="238" t="s">
        <v>15</v>
      </c>
      <c r="D792" s="240">
        <v>198500</v>
      </c>
      <c r="G792" s="237"/>
    </row>
    <row r="793" spans="1:7">
      <c r="A793" s="245">
        <v>191501</v>
      </c>
      <c r="B793" s="239" t="s">
        <v>1359</v>
      </c>
      <c r="C793" s="238" t="s">
        <v>15</v>
      </c>
      <c r="D793" s="240">
        <v>125500</v>
      </c>
      <c r="G793" s="237"/>
    </row>
    <row r="794" spans="1:7" ht="27.6">
      <c r="A794" s="245">
        <v>191601</v>
      </c>
      <c r="B794" s="239" t="s">
        <v>1360</v>
      </c>
      <c r="C794" s="238" t="s">
        <v>15</v>
      </c>
      <c r="D794" s="240">
        <v>65800</v>
      </c>
      <c r="G794" s="237"/>
    </row>
    <row r="795" spans="1:7" ht="27.6">
      <c r="A795" s="245">
        <v>191701</v>
      </c>
      <c r="B795" s="239" t="s">
        <v>1361</v>
      </c>
      <c r="C795" s="238" t="s">
        <v>158</v>
      </c>
      <c r="D795" s="240">
        <v>16080000</v>
      </c>
      <c r="G795" s="237"/>
    </row>
    <row r="796" spans="1:7">
      <c r="A796" s="245">
        <v>200101</v>
      </c>
      <c r="B796" s="239" t="s">
        <v>1362</v>
      </c>
      <c r="C796" s="238" t="s">
        <v>15</v>
      </c>
      <c r="D796" s="240">
        <v>275500</v>
      </c>
      <c r="G796" s="237"/>
    </row>
    <row r="797" spans="1:7">
      <c r="A797" s="245">
        <v>200102</v>
      </c>
      <c r="B797" s="239" t="s">
        <v>1363</v>
      </c>
      <c r="C797" s="238" t="s">
        <v>15</v>
      </c>
      <c r="D797" s="240">
        <v>317500</v>
      </c>
      <c r="G797" s="237"/>
    </row>
    <row r="798" spans="1:7">
      <c r="A798" s="245">
        <v>200103</v>
      </c>
      <c r="B798" s="239" t="s">
        <v>1364</v>
      </c>
      <c r="C798" s="238" t="s">
        <v>15</v>
      </c>
      <c r="D798" s="240">
        <v>319500</v>
      </c>
      <c r="G798" s="237"/>
    </row>
    <row r="799" spans="1:7">
      <c r="A799" s="245">
        <v>200104</v>
      </c>
      <c r="B799" s="239" t="s">
        <v>1365</v>
      </c>
      <c r="C799" s="238" t="s">
        <v>15</v>
      </c>
      <c r="D799" s="240">
        <v>317000</v>
      </c>
      <c r="G799" s="237"/>
    </row>
    <row r="800" spans="1:7">
      <c r="A800" s="245">
        <v>200105</v>
      </c>
      <c r="B800" s="239" t="s">
        <v>1366</v>
      </c>
      <c r="C800" s="238" t="s">
        <v>15</v>
      </c>
      <c r="D800" s="240">
        <v>313000</v>
      </c>
      <c r="G800" s="237"/>
    </row>
    <row r="801" spans="1:7">
      <c r="A801" s="245">
        <v>200106</v>
      </c>
      <c r="B801" s="239" t="s">
        <v>1367</v>
      </c>
      <c r="C801" s="238" t="s">
        <v>15</v>
      </c>
      <c r="D801" s="240">
        <v>309000</v>
      </c>
      <c r="G801" s="237"/>
    </row>
    <row r="802" spans="1:7">
      <c r="A802" s="245">
        <v>200107</v>
      </c>
      <c r="B802" s="239" t="s">
        <v>1368</v>
      </c>
      <c r="C802" s="238" t="s">
        <v>15</v>
      </c>
      <c r="D802" s="240">
        <v>286000</v>
      </c>
      <c r="G802" s="237"/>
    </row>
    <row r="803" spans="1:7">
      <c r="A803" s="245">
        <v>200108</v>
      </c>
      <c r="B803" s="239" t="s">
        <v>1369</v>
      </c>
      <c r="C803" s="238" t="s">
        <v>15</v>
      </c>
      <c r="D803" s="240">
        <v>310500</v>
      </c>
      <c r="G803" s="237"/>
    </row>
    <row r="804" spans="1:7">
      <c r="A804" s="245">
        <v>200109</v>
      </c>
      <c r="B804" s="239" t="s">
        <v>1370</v>
      </c>
      <c r="C804" s="238" t="s">
        <v>15</v>
      </c>
      <c r="D804" s="240">
        <v>470000</v>
      </c>
      <c r="G804" s="237"/>
    </row>
    <row r="805" spans="1:7" ht="27.6">
      <c r="A805" s="245">
        <v>200201</v>
      </c>
      <c r="B805" s="239" t="s">
        <v>1371</v>
      </c>
      <c r="C805" s="238" t="s">
        <v>15</v>
      </c>
      <c r="D805" s="240">
        <v>140000</v>
      </c>
      <c r="G805" s="237"/>
    </row>
    <row r="806" spans="1:7">
      <c r="A806" s="245">
        <v>200301</v>
      </c>
      <c r="B806" s="239" t="s">
        <v>1372</v>
      </c>
      <c r="C806" s="238" t="s">
        <v>15</v>
      </c>
      <c r="D806" s="240">
        <v>274000</v>
      </c>
      <c r="G806" s="237"/>
    </row>
    <row r="807" spans="1:7">
      <c r="A807" s="245">
        <v>200302</v>
      </c>
      <c r="B807" s="239" t="s">
        <v>1373</v>
      </c>
      <c r="C807" s="238" t="s">
        <v>15</v>
      </c>
      <c r="D807" s="240">
        <v>271500</v>
      </c>
      <c r="G807" s="237"/>
    </row>
    <row r="808" spans="1:7">
      <c r="A808" s="245">
        <v>200303</v>
      </c>
      <c r="B808" s="239" t="s">
        <v>1374</v>
      </c>
      <c r="C808" s="238" t="s">
        <v>15</v>
      </c>
      <c r="D808" s="240">
        <v>266000</v>
      </c>
      <c r="G808" s="237"/>
    </row>
    <row r="809" spans="1:7">
      <c r="A809" s="245">
        <v>200304</v>
      </c>
      <c r="B809" s="239" t="s">
        <v>1375</v>
      </c>
      <c r="C809" s="238" t="s">
        <v>15</v>
      </c>
      <c r="D809" s="240">
        <v>265000</v>
      </c>
      <c r="G809" s="237"/>
    </row>
    <row r="810" spans="1:7">
      <c r="A810" s="245">
        <v>200305</v>
      </c>
      <c r="B810" s="239" t="s">
        <v>1376</v>
      </c>
      <c r="C810" s="238" t="s">
        <v>15</v>
      </c>
      <c r="D810" s="240">
        <v>239500</v>
      </c>
      <c r="G810" s="237"/>
    </row>
    <row r="811" spans="1:7">
      <c r="A811" s="245">
        <v>200306</v>
      </c>
      <c r="B811" s="239" t="s">
        <v>1377</v>
      </c>
      <c r="C811" s="238" t="s">
        <v>15</v>
      </c>
      <c r="D811" s="240">
        <v>259000</v>
      </c>
      <c r="G811" s="237"/>
    </row>
    <row r="812" spans="1:7">
      <c r="A812" s="245">
        <v>200307</v>
      </c>
      <c r="B812" s="239" t="s">
        <v>1378</v>
      </c>
      <c r="C812" s="238" t="s">
        <v>15</v>
      </c>
      <c r="D812" s="240">
        <v>261000</v>
      </c>
      <c r="G812" s="237"/>
    </row>
    <row r="813" spans="1:7">
      <c r="A813" s="245">
        <v>200308</v>
      </c>
      <c r="B813" s="239" t="s">
        <v>1379</v>
      </c>
      <c r="C813" s="238" t="s">
        <v>15</v>
      </c>
      <c r="D813" s="240">
        <v>264500</v>
      </c>
      <c r="G813" s="237"/>
    </row>
    <row r="814" spans="1:7">
      <c r="A814" s="245">
        <v>200309</v>
      </c>
      <c r="B814" s="239" t="s">
        <v>1380</v>
      </c>
      <c r="C814" s="238" t="s">
        <v>15</v>
      </c>
      <c r="D814" s="240">
        <v>262500</v>
      </c>
      <c r="G814" s="237"/>
    </row>
    <row r="815" spans="1:7">
      <c r="A815" s="245">
        <v>200401</v>
      </c>
      <c r="B815" s="239" t="s">
        <v>1381</v>
      </c>
      <c r="C815" s="238" t="s">
        <v>15</v>
      </c>
      <c r="D815" s="240">
        <v>353500</v>
      </c>
      <c r="G815" s="237"/>
    </row>
    <row r="816" spans="1:7">
      <c r="A816" s="245">
        <v>200402</v>
      </c>
      <c r="B816" s="239" t="s">
        <v>1382</v>
      </c>
      <c r="C816" s="238" t="s">
        <v>15</v>
      </c>
      <c r="D816" s="240">
        <v>364500</v>
      </c>
      <c r="G816" s="237"/>
    </row>
    <row r="817" spans="1:7">
      <c r="A817" s="245">
        <v>200501</v>
      </c>
      <c r="B817" s="239" t="s">
        <v>1383</v>
      </c>
      <c r="C817" s="238" t="s">
        <v>15</v>
      </c>
      <c r="D817" s="240">
        <v>326500</v>
      </c>
      <c r="G817" s="237"/>
    </row>
    <row r="818" spans="1:7">
      <c r="A818" s="245">
        <v>200502</v>
      </c>
      <c r="B818" s="239" t="s">
        <v>1384</v>
      </c>
      <c r="C818" s="238" t="s">
        <v>15</v>
      </c>
      <c r="D818" s="240">
        <v>153500</v>
      </c>
      <c r="G818" s="237"/>
    </row>
    <row r="819" spans="1:7" ht="27.6">
      <c r="A819" s="245">
        <v>200503</v>
      </c>
      <c r="B819" s="239" t="s">
        <v>1385</v>
      </c>
      <c r="C819" s="238" t="s">
        <v>15</v>
      </c>
      <c r="D819" s="240">
        <v>264500</v>
      </c>
      <c r="G819" s="237"/>
    </row>
    <row r="820" spans="1:7" ht="27.6">
      <c r="A820" s="245">
        <v>210101</v>
      </c>
      <c r="B820" s="239" t="s">
        <v>1386</v>
      </c>
      <c r="C820" s="238" t="s">
        <v>15</v>
      </c>
      <c r="D820" s="240">
        <v>160000</v>
      </c>
      <c r="G820" s="237"/>
    </row>
    <row r="821" spans="1:7" ht="27.6">
      <c r="A821" s="245">
        <v>210102</v>
      </c>
      <c r="B821" s="239" t="s">
        <v>1387</v>
      </c>
      <c r="C821" s="238" t="s">
        <v>15</v>
      </c>
      <c r="D821" s="240">
        <v>155000</v>
      </c>
      <c r="G821" s="237"/>
    </row>
    <row r="822" spans="1:7">
      <c r="A822" s="245">
        <v>210103</v>
      </c>
      <c r="B822" s="239" t="s">
        <v>1388</v>
      </c>
      <c r="C822" s="238" t="s">
        <v>15</v>
      </c>
      <c r="D822" s="240">
        <v>177500</v>
      </c>
      <c r="G822" s="237"/>
    </row>
    <row r="823" spans="1:7">
      <c r="A823" s="245">
        <v>210104</v>
      </c>
      <c r="B823" s="239" t="s">
        <v>1389</v>
      </c>
      <c r="C823" s="238" t="s">
        <v>15</v>
      </c>
      <c r="D823" s="240">
        <v>173000</v>
      </c>
      <c r="G823" s="237"/>
    </row>
    <row r="824" spans="1:7">
      <c r="A824" s="245">
        <v>210201</v>
      </c>
      <c r="B824" s="239" t="s">
        <v>1390</v>
      </c>
      <c r="C824" s="238" t="s">
        <v>15</v>
      </c>
      <c r="D824" s="240">
        <v>251000</v>
      </c>
      <c r="G824" s="237"/>
    </row>
    <row r="825" spans="1:7">
      <c r="A825" s="245">
        <v>210202</v>
      </c>
      <c r="B825" s="239" t="s">
        <v>1391</v>
      </c>
      <c r="C825" s="238" t="s">
        <v>15</v>
      </c>
      <c r="D825" s="240">
        <v>198500</v>
      </c>
      <c r="G825" s="237"/>
    </row>
    <row r="826" spans="1:7">
      <c r="A826" s="245">
        <v>210203</v>
      </c>
      <c r="B826" s="239" t="s">
        <v>1392</v>
      </c>
      <c r="C826" s="238" t="s">
        <v>15</v>
      </c>
      <c r="D826" s="240">
        <v>193500</v>
      </c>
      <c r="G826" s="237"/>
    </row>
    <row r="827" spans="1:7">
      <c r="A827" s="245">
        <v>210204</v>
      </c>
      <c r="B827" s="239" t="s">
        <v>1393</v>
      </c>
      <c r="C827" s="238" t="s">
        <v>15</v>
      </c>
      <c r="D827" s="240">
        <v>199000</v>
      </c>
      <c r="G827" s="237"/>
    </row>
    <row r="828" spans="1:7" ht="27.6">
      <c r="A828" s="245">
        <v>210301</v>
      </c>
      <c r="B828" s="239" t="s">
        <v>1394</v>
      </c>
      <c r="C828" s="238" t="s">
        <v>15</v>
      </c>
      <c r="D828" s="240">
        <v>261000</v>
      </c>
      <c r="G828" s="237"/>
    </row>
    <row r="829" spans="1:7" ht="27.6">
      <c r="A829" s="245">
        <v>210302</v>
      </c>
      <c r="B829" s="239" t="s">
        <v>1395</v>
      </c>
      <c r="C829" s="238" t="s">
        <v>15</v>
      </c>
      <c r="D829" s="240">
        <v>207000</v>
      </c>
      <c r="G829" s="237"/>
    </row>
    <row r="830" spans="1:7" ht="27.6">
      <c r="A830" s="245">
        <v>210303</v>
      </c>
      <c r="B830" s="239" t="s">
        <v>1396</v>
      </c>
      <c r="C830" s="238" t="s">
        <v>15</v>
      </c>
      <c r="D830" s="240">
        <v>202000</v>
      </c>
      <c r="G830" s="237"/>
    </row>
    <row r="831" spans="1:7" ht="27.6">
      <c r="A831" s="245">
        <v>210304</v>
      </c>
      <c r="B831" s="239" t="s">
        <v>1397</v>
      </c>
      <c r="C831" s="238" t="s">
        <v>15</v>
      </c>
      <c r="D831" s="240">
        <v>218000</v>
      </c>
      <c r="G831" s="237"/>
    </row>
    <row r="832" spans="1:7" ht="27.6">
      <c r="A832" s="245">
        <v>210401</v>
      </c>
      <c r="B832" s="239" t="s">
        <v>1398</v>
      </c>
      <c r="C832" s="238" t="s">
        <v>15</v>
      </c>
      <c r="D832" s="240">
        <v>34000</v>
      </c>
      <c r="G832" s="237"/>
    </row>
    <row r="833" spans="1:7" ht="27.6">
      <c r="A833" s="245">
        <v>210402</v>
      </c>
      <c r="B833" s="239" t="s">
        <v>1399</v>
      </c>
      <c r="C833" s="238" t="s">
        <v>15</v>
      </c>
      <c r="D833" s="240">
        <v>26300</v>
      </c>
      <c r="G833" s="237"/>
    </row>
    <row r="834" spans="1:7">
      <c r="A834" s="245">
        <v>210501</v>
      </c>
      <c r="B834" s="239" t="s">
        <v>1400</v>
      </c>
      <c r="C834" s="238" t="s">
        <v>15</v>
      </c>
      <c r="D834" s="240">
        <v>193000</v>
      </c>
      <c r="G834" s="237"/>
    </row>
    <row r="835" spans="1:7">
      <c r="A835" s="245">
        <v>210502</v>
      </c>
      <c r="B835" s="239" t="s">
        <v>1401</v>
      </c>
      <c r="C835" s="238" t="s">
        <v>15</v>
      </c>
      <c r="D835" s="240">
        <v>231500</v>
      </c>
      <c r="G835" s="237"/>
    </row>
    <row r="836" spans="1:7">
      <c r="A836" s="245">
        <v>210503</v>
      </c>
      <c r="B836" s="239" t="s">
        <v>1402</v>
      </c>
      <c r="C836" s="238" t="s">
        <v>15</v>
      </c>
      <c r="D836" s="240">
        <v>231500</v>
      </c>
      <c r="G836" s="237"/>
    </row>
    <row r="837" spans="1:7">
      <c r="A837" s="245">
        <v>210504</v>
      </c>
      <c r="B837" s="239" t="s">
        <v>1403</v>
      </c>
      <c r="C837" s="238" t="s">
        <v>15</v>
      </c>
      <c r="D837" s="240">
        <v>193000</v>
      </c>
      <c r="G837" s="237"/>
    </row>
    <row r="838" spans="1:7">
      <c r="A838" s="245">
        <v>210505</v>
      </c>
      <c r="B838" s="239" t="s">
        <v>1404</v>
      </c>
      <c r="C838" s="238" t="s">
        <v>15</v>
      </c>
      <c r="D838" s="240">
        <v>221000</v>
      </c>
      <c r="G838" s="237"/>
    </row>
    <row r="839" spans="1:7" ht="27.6">
      <c r="A839" s="245">
        <v>210506</v>
      </c>
      <c r="B839" s="239" t="s">
        <v>1405</v>
      </c>
      <c r="C839" s="238" t="s">
        <v>15</v>
      </c>
      <c r="D839" s="240">
        <v>251000</v>
      </c>
      <c r="G839" s="237"/>
    </row>
    <row r="840" spans="1:7" ht="27.6">
      <c r="A840" s="245">
        <v>220101</v>
      </c>
      <c r="B840" s="239" t="s">
        <v>1406</v>
      </c>
      <c r="C840" s="238" t="s">
        <v>15</v>
      </c>
      <c r="D840" s="240">
        <v>1053000</v>
      </c>
      <c r="G840" s="237"/>
    </row>
    <row r="841" spans="1:7" ht="27.6">
      <c r="A841" s="245">
        <v>220102</v>
      </c>
      <c r="B841" s="239" t="s">
        <v>1407</v>
      </c>
      <c r="C841" s="238" t="s">
        <v>15</v>
      </c>
      <c r="D841" s="240">
        <v>722500</v>
      </c>
      <c r="G841" s="237"/>
    </row>
    <row r="842" spans="1:7" ht="27.6">
      <c r="A842" s="245">
        <v>220103</v>
      </c>
      <c r="B842" s="239" t="s">
        <v>1408</v>
      </c>
      <c r="C842" s="238" t="s">
        <v>15</v>
      </c>
      <c r="D842" s="240">
        <v>720500</v>
      </c>
      <c r="G842" s="237"/>
    </row>
    <row r="843" spans="1:7">
      <c r="A843" s="245">
        <v>220104</v>
      </c>
      <c r="B843" s="239" t="s">
        <v>1409</v>
      </c>
      <c r="C843" s="238" t="s">
        <v>15</v>
      </c>
      <c r="D843" s="240">
        <v>294500</v>
      </c>
      <c r="G843" s="237"/>
    </row>
    <row r="844" spans="1:7" ht="27.6">
      <c r="A844" s="245">
        <v>220201</v>
      </c>
      <c r="B844" s="239" t="s">
        <v>1410</v>
      </c>
      <c r="C844" s="238" t="s">
        <v>15</v>
      </c>
      <c r="D844" s="240">
        <v>423000</v>
      </c>
      <c r="G844" s="237"/>
    </row>
    <row r="845" spans="1:7" ht="27.6">
      <c r="A845" s="245">
        <v>220202</v>
      </c>
      <c r="B845" s="239" t="s">
        <v>1411</v>
      </c>
      <c r="C845" s="238" t="s">
        <v>15</v>
      </c>
      <c r="D845" s="240">
        <v>685500</v>
      </c>
      <c r="G845" s="237"/>
    </row>
    <row r="846" spans="1:7" ht="27.6">
      <c r="A846" s="245">
        <v>220301</v>
      </c>
      <c r="B846" s="239" t="s">
        <v>1412</v>
      </c>
      <c r="C846" s="238" t="s">
        <v>15</v>
      </c>
      <c r="D846" s="240">
        <v>450500</v>
      </c>
      <c r="G846" s="237"/>
    </row>
    <row r="847" spans="1:7" ht="27.6">
      <c r="A847" s="245">
        <v>220302</v>
      </c>
      <c r="B847" s="239" t="s">
        <v>1413</v>
      </c>
      <c r="C847" s="238" t="s">
        <v>15</v>
      </c>
      <c r="D847" s="240">
        <v>595000</v>
      </c>
      <c r="G847" s="237"/>
    </row>
    <row r="848" spans="1:7" ht="27.6">
      <c r="A848" s="245">
        <v>220303</v>
      </c>
      <c r="B848" s="239" t="s">
        <v>1414</v>
      </c>
      <c r="C848" s="238" t="s">
        <v>15</v>
      </c>
      <c r="D848" s="240">
        <v>529000</v>
      </c>
      <c r="G848" s="237"/>
    </row>
    <row r="849" spans="1:7" ht="27.6">
      <c r="A849" s="245">
        <v>220304</v>
      </c>
      <c r="B849" s="239" t="s">
        <v>1415</v>
      </c>
      <c r="C849" s="238" t="s">
        <v>15</v>
      </c>
      <c r="D849" s="240">
        <v>570000</v>
      </c>
      <c r="G849" s="237"/>
    </row>
    <row r="850" spans="1:7" ht="27.6">
      <c r="A850" s="245">
        <v>220305</v>
      </c>
      <c r="B850" s="239" t="s">
        <v>1416</v>
      </c>
      <c r="C850" s="238" t="s">
        <v>15</v>
      </c>
      <c r="D850" s="240">
        <v>489500</v>
      </c>
      <c r="G850" s="237"/>
    </row>
    <row r="851" spans="1:7" ht="27.6">
      <c r="A851" s="245">
        <v>220306</v>
      </c>
      <c r="B851" s="239" t="s">
        <v>1417</v>
      </c>
      <c r="C851" s="238" t="s">
        <v>15</v>
      </c>
      <c r="D851" s="240">
        <v>542000</v>
      </c>
      <c r="G851" s="237"/>
    </row>
    <row r="852" spans="1:7" ht="27.6">
      <c r="A852" s="245">
        <v>220307</v>
      </c>
      <c r="B852" s="239" t="s">
        <v>1418</v>
      </c>
      <c r="C852" s="238" t="s">
        <v>15</v>
      </c>
      <c r="D852" s="240">
        <v>443000</v>
      </c>
      <c r="G852" s="237"/>
    </row>
    <row r="853" spans="1:7" ht="27.6">
      <c r="A853" s="245">
        <v>220308</v>
      </c>
      <c r="B853" s="239" t="s">
        <v>1419</v>
      </c>
      <c r="C853" s="238" t="s">
        <v>15</v>
      </c>
      <c r="D853" s="240">
        <v>413500</v>
      </c>
      <c r="G853" s="237"/>
    </row>
    <row r="854" spans="1:7" ht="27.6">
      <c r="A854" s="245">
        <v>220309</v>
      </c>
      <c r="B854" s="239" t="s">
        <v>1420</v>
      </c>
      <c r="C854" s="238" t="s">
        <v>15</v>
      </c>
      <c r="D854" s="240">
        <v>508500</v>
      </c>
      <c r="G854" s="237"/>
    </row>
    <row r="855" spans="1:7" ht="27.6">
      <c r="A855" s="245">
        <v>220310</v>
      </c>
      <c r="B855" s="239" t="s">
        <v>1421</v>
      </c>
      <c r="C855" s="238" t="s">
        <v>15</v>
      </c>
      <c r="D855" s="240">
        <v>516000</v>
      </c>
      <c r="G855" s="237"/>
    </row>
    <row r="856" spans="1:7" ht="27.6">
      <c r="A856" s="245">
        <v>220401</v>
      </c>
      <c r="B856" s="239" t="s">
        <v>1422</v>
      </c>
      <c r="C856" s="238" t="s">
        <v>15</v>
      </c>
      <c r="D856" s="240">
        <v>634000</v>
      </c>
      <c r="G856" s="237"/>
    </row>
    <row r="857" spans="1:7" ht="27.6">
      <c r="A857" s="245">
        <v>220402</v>
      </c>
      <c r="B857" s="239" t="s">
        <v>1423</v>
      </c>
      <c r="C857" s="238" t="s">
        <v>15</v>
      </c>
      <c r="D857" s="240">
        <v>581500</v>
      </c>
      <c r="G857" s="237"/>
    </row>
    <row r="858" spans="1:7" ht="27.6">
      <c r="A858" s="245">
        <v>220403</v>
      </c>
      <c r="B858" s="239" t="s">
        <v>1424</v>
      </c>
      <c r="C858" s="238" t="s">
        <v>15</v>
      </c>
      <c r="D858" s="240">
        <v>595000</v>
      </c>
      <c r="G858" s="237"/>
    </row>
    <row r="859" spans="1:7" ht="27.6">
      <c r="A859" s="245">
        <v>220404</v>
      </c>
      <c r="B859" s="239" t="s">
        <v>1425</v>
      </c>
      <c r="C859" s="238" t="s">
        <v>15</v>
      </c>
      <c r="D859" s="240">
        <v>581500</v>
      </c>
      <c r="G859" s="237"/>
    </row>
    <row r="860" spans="1:7" ht="27.6">
      <c r="A860" s="245">
        <v>220405</v>
      </c>
      <c r="B860" s="239" t="s">
        <v>1426</v>
      </c>
      <c r="C860" s="238" t="s">
        <v>15</v>
      </c>
      <c r="D860" s="240">
        <v>595000</v>
      </c>
      <c r="G860" s="237"/>
    </row>
    <row r="861" spans="1:7" ht="27.6">
      <c r="A861" s="245">
        <v>220406</v>
      </c>
      <c r="B861" s="239" t="s">
        <v>1427</v>
      </c>
      <c r="C861" s="238" t="s">
        <v>15</v>
      </c>
      <c r="D861" s="240">
        <v>476500</v>
      </c>
      <c r="G861" s="237"/>
    </row>
    <row r="862" spans="1:7" ht="27.6">
      <c r="A862" s="245">
        <v>220407</v>
      </c>
      <c r="B862" s="239" t="s">
        <v>1428</v>
      </c>
      <c r="C862" s="238" t="s">
        <v>15</v>
      </c>
      <c r="D862" s="240">
        <v>694000</v>
      </c>
      <c r="G862" s="237"/>
    </row>
    <row r="863" spans="1:7" ht="27.6">
      <c r="A863" s="245">
        <v>220408</v>
      </c>
      <c r="B863" s="239" t="s">
        <v>1429</v>
      </c>
      <c r="C863" s="238" t="s">
        <v>15</v>
      </c>
      <c r="D863" s="240">
        <v>430500</v>
      </c>
      <c r="G863" s="237"/>
    </row>
    <row r="864" spans="1:7">
      <c r="A864" s="245">
        <v>220409</v>
      </c>
      <c r="B864" s="239" t="s">
        <v>1430</v>
      </c>
      <c r="C864" s="238" t="s">
        <v>15</v>
      </c>
      <c r="D864" s="240">
        <v>377500</v>
      </c>
      <c r="G864" s="237"/>
    </row>
    <row r="865" spans="1:7" ht="27.6">
      <c r="A865" s="245">
        <v>220501</v>
      </c>
      <c r="B865" s="239" t="s">
        <v>1431</v>
      </c>
      <c r="C865" s="238" t="s">
        <v>15</v>
      </c>
      <c r="D865" s="240">
        <v>522000</v>
      </c>
      <c r="G865" s="237"/>
    </row>
    <row r="866" spans="1:7" ht="27.6">
      <c r="A866" s="245">
        <v>220502</v>
      </c>
      <c r="B866" s="239" t="s">
        <v>1432</v>
      </c>
      <c r="C866" s="238" t="s">
        <v>15</v>
      </c>
      <c r="D866" s="240">
        <v>863000</v>
      </c>
      <c r="G866" s="237"/>
    </row>
    <row r="867" spans="1:7" ht="27.6">
      <c r="A867" s="245">
        <v>220503</v>
      </c>
      <c r="B867" s="239" t="s">
        <v>1433</v>
      </c>
      <c r="C867" s="238" t="s">
        <v>15</v>
      </c>
      <c r="D867" s="240">
        <v>862000</v>
      </c>
      <c r="G867" s="237"/>
    </row>
    <row r="868" spans="1:7" ht="27.6">
      <c r="A868" s="245">
        <v>220504</v>
      </c>
      <c r="B868" s="239" t="s">
        <v>1434</v>
      </c>
      <c r="C868" s="238" t="s">
        <v>15</v>
      </c>
      <c r="D868" s="240">
        <v>556000</v>
      </c>
      <c r="G868" s="237"/>
    </row>
    <row r="869" spans="1:7" ht="27.6">
      <c r="A869" s="245">
        <v>220505</v>
      </c>
      <c r="B869" s="239" t="s">
        <v>1435</v>
      </c>
      <c r="C869" s="238" t="s">
        <v>15</v>
      </c>
      <c r="D869" s="240">
        <v>558500</v>
      </c>
      <c r="G869" s="237"/>
    </row>
    <row r="870" spans="1:7" ht="27.6">
      <c r="A870" s="245">
        <v>220506</v>
      </c>
      <c r="B870" s="239" t="s">
        <v>1436</v>
      </c>
      <c r="C870" s="238" t="s">
        <v>15</v>
      </c>
      <c r="D870" s="240">
        <v>747000</v>
      </c>
      <c r="G870" s="237"/>
    </row>
    <row r="871" spans="1:7" ht="27.6">
      <c r="A871" s="245">
        <v>220507</v>
      </c>
      <c r="B871" s="239" t="s">
        <v>1437</v>
      </c>
      <c r="C871" s="238" t="s">
        <v>15</v>
      </c>
      <c r="D871" s="240">
        <v>1424000</v>
      </c>
      <c r="G871" s="237"/>
    </row>
    <row r="872" spans="1:7" ht="27.6">
      <c r="A872" s="245">
        <v>220508</v>
      </c>
      <c r="B872" s="239" t="s">
        <v>1438</v>
      </c>
      <c r="C872" s="238" t="s">
        <v>15</v>
      </c>
      <c r="D872" s="240">
        <v>1025000</v>
      </c>
      <c r="G872" s="237"/>
    </row>
    <row r="873" spans="1:7" ht="27.6">
      <c r="A873" s="245">
        <v>220509</v>
      </c>
      <c r="B873" s="239" t="s">
        <v>1439</v>
      </c>
      <c r="C873" s="238" t="s">
        <v>15</v>
      </c>
      <c r="D873" s="240">
        <v>670500</v>
      </c>
      <c r="G873" s="237"/>
    </row>
    <row r="874" spans="1:7" ht="27.6">
      <c r="A874" s="245">
        <v>220601</v>
      </c>
      <c r="B874" s="239" t="s">
        <v>1440</v>
      </c>
      <c r="C874" s="238" t="s">
        <v>15</v>
      </c>
      <c r="D874" s="240">
        <v>33000</v>
      </c>
      <c r="G874" s="237"/>
    </row>
    <row r="875" spans="1:7" ht="27.6">
      <c r="A875" s="245">
        <v>220602</v>
      </c>
      <c r="B875" s="239" t="s">
        <v>1441</v>
      </c>
      <c r="C875" s="238" t="s">
        <v>15</v>
      </c>
      <c r="D875" s="240">
        <v>36100</v>
      </c>
      <c r="G875" s="237"/>
    </row>
    <row r="876" spans="1:7" ht="27.6">
      <c r="A876" s="245">
        <v>220603</v>
      </c>
      <c r="B876" s="239" t="s">
        <v>1442</v>
      </c>
      <c r="C876" s="238" t="s">
        <v>15</v>
      </c>
      <c r="D876" s="240">
        <v>61500</v>
      </c>
      <c r="G876" s="237"/>
    </row>
    <row r="877" spans="1:7" ht="27.6">
      <c r="A877" s="245">
        <v>220604</v>
      </c>
      <c r="B877" s="239" t="s">
        <v>1443</v>
      </c>
      <c r="C877" s="238" t="s">
        <v>15</v>
      </c>
      <c r="D877" s="240">
        <v>78500</v>
      </c>
      <c r="G877" s="237"/>
    </row>
    <row r="878" spans="1:7" ht="27.6">
      <c r="A878" s="245">
        <v>220605</v>
      </c>
      <c r="B878" s="239" t="s">
        <v>1444</v>
      </c>
      <c r="C878" s="238" t="s">
        <v>15</v>
      </c>
      <c r="D878" s="240">
        <v>98100</v>
      </c>
      <c r="G878" s="237"/>
    </row>
    <row r="879" spans="1:7" ht="27.6">
      <c r="A879" s="245">
        <v>220606</v>
      </c>
      <c r="B879" s="239" t="s">
        <v>1445</v>
      </c>
      <c r="C879" s="238" t="s">
        <v>15</v>
      </c>
      <c r="D879" s="240">
        <v>498000</v>
      </c>
      <c r="G879" s="237"/>
    </row>
    <row r="880" spans="1:7">
      <c r="A880" s="245">
        <v>220607</v>
      </c>
      <c r="B880" s="239" t="s">
        <v>1446</v>
      </c>
      <c r="C880" s="238" t="s">
        <v>15</v>
      </c>
      <c r="D880" s="240">
        <v>62600</v>
      </c>
      <c r="G880" s="237"/>
    </row>
    <row r="881" spans="1:7" ht="27.6">
      <c r="A881" s="245">
        <v>220608</v>
      </c>
      <c r="B881" s="239" t="s">
        <v>1447</v>
      </c>
      <c r="C881" s="238" t="s">
        <v>242</v>
      </c>
      <c r="D881" s="240">
        <v>29300</v>
      </c>
      <c r="G881" s="237"/>
    </row>
    <row r="882" spans="1:7" ht="27.6">
      <c r="A882" s="245">
        <v>220609</v>
      </c>
      <c r="B882" s="239" t="s">
        <v>1448</v>
      </c>
      <c r="C882" s="238" t="s">
        <v>242</v>
      </c>
      <c r="D882" s="240">
        <v>64700</v>
      </c>
      <c r="G882" s="237"/>
    </row>
    <row r="883" spans="1:7" ht="27.6">
      <c r="A883" s="245">
        <v>220701</v>
      </c>
      <c r="B883" s="239" t="s">
        <v>1449</v>
      </c>
      <c r="C883" s="238" t="s">
        <v>242</v>
      </c>
      <c r="D883" s="240">
        <v>82400</v>
      </c>
      <c r="G883" s="237"/>
    </row>
    <row r="884" spans="1:7" ht="27.6">
      <c r="A884" s="245">
        <v>220702</v>
      </c>
      <c r="B884" s="239" t="s">
        <v>1450</v>
      </c>
      <c r="C884" s="238" t="s">
        <v>242</v>
      </c>
      <c r="D884" s="240">
        <v>40400</v>
      </c>
      <c r="G884" s="237"/>
    </row>
    <row r="885" spans="1:7" ht="27.6">
      <c r="A885" s="245">
        <v>220703</v>
      </c>
      <c r="B885" s="239" t="s">
        <v>1451</v>
      </c>
      <c r="C885" s="238" t="s">
        <v>242</v>
      </c>
      <c r="D885" s="240">
        <v>61400</v>
      </c>
      <c r="G885" s="237"/>
    </row>
    <row r="886" spans="1:7" ht="27.6">
      <c r="A886" s="245">
        <v>220704</v>
      </c>
      <c r="B886" s="239" t="s">
        <v>1452</v>
      </c>
      <c r="C886" s="238" t="s">
        <v>242</v>
      </c>
      <c r="D886" s="240">
        <v>56900</v>
      </c>
      <c r="G886" s="237"/>
    </row>
    <row r="887" spans="1:7" ht="27.6">
      <c r="A887" s="245">
        <v>220801</v>
      </c>
      <c r="B887" s="239" t="s">
        <v>1453</v>
      </c>
      <c r="C887" s="238" t="s">
        <v>15</v>
      </c>
      <c r="D887" s="240">
        <v>454500</v>
      </c>
      <c r="G887" s="237"/>
    </row>
    <row r="888" spans="1:7" ht="27.6">
      <c r="A888" s="245">
        <v>220802</v>
      </c>
      <c r="B888" s="239" t="s">
        <v>1454</v>
      </c>
      <c r="C888" s="238" t="s">
        <v>15</v>
      </c>
      <c r="D888" s="240">
        <v>33800</v>
      </c>
      <c r="G888" s="237"/>
    </row>
    <row r="889" spans="1:7" ht="27.6">
      <c r="A889" s="245">
        <v>220803</v>
      </c>
      <c r="B889" s="239" t="s">
        <v>1455</v>
      </c>
      <c r="C889" s="238" t="s">
        <v>15</v>
      </c>
      <c r="D889" s="240">
        <v>619000</v>
      </c>
      <c r="G889" s="237"/>
    </row>
    <row r="890" spans="1:7" ht="27.6">
      <c r="A890" s="245">
        <v>220804</v>
      </c>
      <c r="B890" s="239" t="s">
        <v>1456</v>
      </c>
      <c r="C890" s="238" t="s">
        <v>15</v>
      </c>
      <c r="D890" s="240">
        <v>64600</v>
      </c>
      <c r="G890" s="237"/>
    </row>
    <row r="891" spans="1:7" ht="41.4">
      <c r="A891" s="245">
        <v>220805</v>
      </c>
      <c r="B891" s="239" t="s">
        <v>1457</v>
      </c>
      <c r="C891" s="238" t="s">
        <v>15</v>
      </c>
      <c r="D891" s="240">
        <v>373500</v>
      </c>
      <c r="G891" s="237"/>
    </row>
    <row r="892" spans="1:7" ht="27.6">
      <c r="A892" s="245">
        <v>220806</v>
      </c>
      <c r="B892" s="239" t="s">
        <v>1458</v>
      </c>
      <c r="C892" s="238" t="s">
        <v>15</v>
      </c>
      <c r="D892" s="240">
        <v>30800</v>
      </c>
      <c r="G892" s="237"/>
    </row>
    <row r="893" spans="1:7" ht="27.6">
      <c r="A893" s="245">
        <v>220901</v>
      </c>
      <c r="B893" s="239" t="s">
        <v>1459</v>
      </c>
      <c r="C893" s="238" t="s">
        <v>15</v>
      </c>
      <c r="D893" s="240">
        <v>341500</v>
      </c>
      <c r="G893" s="237"/>
    </row>
    <row r="894" spans="1:7" ht="27.6">
      <c r="A894" s="245">
        <v>220902</v>
      </c>
      <c r="B894" s="239" t="s">
        <v>1460</v>
      </c>
      <c r="C894" s="238" t="s">
        <v>15</v>
      </c>
      <c r="D894" s="240">
        <v>341500</v>
      </c>
      <c r="G894" s="237"/>
    </row>
    <row r="895" spans="1:7" ht="27.6">
      <c r="A895" s="245">
        <v>220903</v>
      </c>
      <c r="B895" s="239" t="s">
        <v>1461</v>
      </c>
      <c r="C895" s="238" t="s">
        <v>15</v>
      </c>
      <c r="D895" s="240">
        <v>336000</v>
      </c>
      <c r="G895" s="237"/>
    </row>
    <row r="896" spans="1:7" ht="27.6">
      <c r="A896" s="245">
        <v>220904</v>
      </c>
      <c r="B896" s="239" t="s">
        <v>1462</v>
      </c>
      <c r="C896" s="238" t="s">
        <v>15</v>
      </c>
      <c r="D896" s="240">
        <v>429000</v>
      </c>
      <c r="G896" s="237"/>
    </row>
    <row r="897" spans="1:7" ht="27.6">
      <c r="A897" s="245">
        <v>230101</v>
      </c>
      <c r="B897" s="239" t="s">
        <v>1463</v>
      </c>
      <c r="C897" s="238" t="s">
        <v>15</v>
      </c>
      <c r="D897" s="240">
        <v>230000</v>
      </c>
      <c r="G897" s="237"/>
    </row>
    <row r="898" spans="1:7" ht="27.6">
      <c r="A898" s="245">
        <v>230102</v>
      </c>
      <c r="B898" s="239" t="s">
        <v>1464</v>
      </c>
      <c r="C898" s="238" t="s">
        <v>15</v>
      </c>
      <c r="D898" s="240">
        <v>252000</v>
      </c>
      <c r="G898" s="237"/>
    </row>
    <row r="899" spans="1:7" ht="27.6">
      <c r="A899" s="245">
        <v>230103</v>
      </c>
      <c r="B899" s="239" t="s">
        <v>1465</v>
      </c>
      <c r="C899" s="238" t="s">
        <v>15</v>
      </c>
      <c r="D899" s="240">
        <v>251500</v>
      </c>
      <c r="G899" s="237"/>
    </row>
    <row r="900" spans="1:7" ht="27.6">
      <c r="A900" s="245">
        <v>230104</v>
      </c>
      <c r="B900" s="239" t="s">
        <v>1466</v>
      </c>
      <c r="C900" s="238" t="s">
        <v>15</v>
      </c>
      <c r="D900" s="240">
        <v>272500</v>
      </c>
      <c r="G900" s="237"/>
    </row>
    <row r="901" spans="1:7" ht="27.6">
      <c r="A901" s="245">
        <v>230201</v>
      </c>
      <c r="B901" s="239" t="s">
        <v>1467</v>
      </c>
      <c r="C901" s="238" t="s">
        <v>15</v>
      </c>
      <c r="D901" s="240">
        <v>254000</v>
      </c>
      <c r="G901" s="237"/>
    </row>
    <row r="902" spans="1:7" ht="27.6">
      <c r="A902" s="245">
        <v>230202</v>
      </c>
      <c r="B902" s="239" t="s">
        <v>1468</v>
      </c>
      <c r="C902" s="238" t="s">
        <v>15</v>
      </c>
      <c r="D902" s="240">
        <v>276000</v>
      </c>
      <c r="G902" s="237"/>
    </row>
    <row r="903" spans="1:7" ht="27.6">
      <c r="A903" s="245">
        <v>230203</v>
      </c>
      <c r="B903" s="239" t="s">
        <v>1469</v>
      </c>
      <c r="C903" s="238" t="s">
        <v>15</v>
      </c>
      <c r="D903" s="240">
        <v>298500</v>
      </c>
      <c r="G903" s="237"/>
    </row>
    <row r="904" spans="1:7" ht="27.6">
      <c r="A904" s="245">
        <v>230204</v>
      </c>
      <c r="B904" s="239" t="s">
        <v>1470</v>
      </c>
      <c r="C904" s="238" t="s">
        <v>15</v>
      </c>
      <c r="D904" s="240">
        <v>268500</v>
      </c>
      <c r="G904" s="237"/>
    </row>
    <row r="905" spans="1:7" ht="27.6">
      <c r="A905" s="245">
        <v>230205</v>
      </c>
      <c r="B905" s="239" t="s">
        <v>1471</v>
      </c>
      <c r="C905" s="238" t="s">
        <v>15</v>
      </c>
      <c r="D905" s="240">
        <v>312500</v>
      </c>
      <c r="G905" s="237"/>
    </row>
    <row r="906" spans="1:7" ht="27.6">
      <c r="A906" s="245">
        <v>230301</v>
      </c>
      <c r="B906" s="239" t="s">
        <v>1472</v>
      </c>
      <c r="C906" s="238" t="s">
        <v>15</v>
      </c>
      <c r="D906" s="240">
        <v>300500</v>
      </c>
      <c r="G906" s="237"/>
    </row>
    <row r="907" spans="1:7" ht="27.6">
      <c r="A907" s="245">
        <v>230302</v>
      </c>
      <c r="B907" s="239" t="s">
        <v>1473</v>
      </c>
      <c r="C907" s="238" t="s">
        <v>15</v>
      </c>
      <c r="D907" s="240">
        <v>324000</v>
      </c>
      <c r="G907" s="237"/>
    </row>
    <row r="908" spans="1:7" ht="27.6">
      <c r="A908" s="245">
        <v>230303</v>
      </c>
      <c r="B908" s="239" t="s">
        <v>1474</v>
      </c>
      <c r="C908" s="238" t="s">
        <v>15</v>
      </c>
      <c r="D908" s="240">
        <v>365000</v>
      </c>
      <c r="G908" s="237"/>
    </row>
    <row r="909" spans="1:7" ht="27.6">
      <c r="A909" s="245">
        <v>230304</v>
      </c>
      <c r="B909" s="239" t="s">
        <v>1475</v>
      </c>
      <c r="C909" s="238" t="s">
        <v>15</v>
      </c>
      <c r="D909" s="240">
        <v>299000</v>
      </c>
      <c r="G909" s="237"/>
    </row>
    <row r="910" spans="1:7" ht="27.6">
      <c r="A910" s="245">
        <v>230401</v>
      </c>
      <c r="B910" s="239" t="s">
        <v>1476</v>
      </c>
      <c r="C910" s="238" t="s">
        <v>15</v>
      </c>
      <c r="D910" s="240">
        <v>158500</v>
      </c>
      <c r="G910" s="237"/>
    </row>
    <row r="911" spans="1:7">
      <c r="A911" s="245">
        <v>230402</v>
      </c>
      <c r="B911" s="239" t="s">
        <v>1477</v>
      </c>
      <c r="C911" s="238" t="s">
        <v>242</v>
      </c>
      <c r="D911" s="240">
        <v>16200</v>
      </c>
      <c r="G911" s="237"/>
    </row>
    <row r="912" spans="1:7">
      <c r="A912" s="245">
        <v>230403</v>
      </c>
      <c r="B912" s="239" t="s">
        <v>1478</v>
      </c>
      <c r="C912" s="238" t="s">
        <v>242</v>
      </c>
      <c r="D912" s="240">
        <v>23300</v>
      </c>
      <c r="G912" s="237"/>
    </row>
    <row r="913" spans="1:7" ht="27.6">
      <c r="A913" s="245">
        <v>230404</v>
      </c>
      <c r="B913" s="239" t="s">
        <v>1479</v>
      </c>
      <c r="C913" s="238" t="s">
        <v>242</v>
      </c>
      <c r="D913" s="240">
        <v>39100</v>
      </c>
      <c r="G913" s="237"/>
    </row>
    <row r="914" spans="1:7" ht="27.6">
      <c r="A914" s="245">
        <v>230405</v>
      </c>
      <c r="B914" s="239" t="s">
        <v>1480</v>
      </c>
      <c r="C914" s="238" t="s">
        <v>242</v>
      </c>
      <c r="D914" s="240">
        <v>100000</v>
      </c>
      <c r="G914" s="237"/>
    </row>
    <row r="915" spans="1:7">
      <c r="A915" s="245">
        <v>230501</v>
      </c>
      <c r="B915" s="239" t="s">
        <v>1481</v>
      </c>
      <c r="C915" s="238" t="s">
        <v>15</v>
      </c>
      <c r="D915" s="240">
        <v>133500</v>
      </c>
      <c r="G915" s="237"/>
    </row>
    <row r="916" spans="1:7" ht="27.6">
      <c r="A916" s="245">
        <v>230502</v>
      </c>
      <c r="B916" s="239" t="s">
        <v>1482</v>
      </c>
      <c r="C916" s="238" t="s">
        <v>15</v>
      </c>
      <c r="D916" s="240">
        <v>52100</v>
      </c>
      <c r="G916" s="237"/>
    </row>
    <row r="917" spans="1:7">
      <c r="A917" s="245">
        <v>230503</v>
      </c>
      <c r="B917" s="239" t="s">
        <v>1483</v>
      </c>
      <c r="C917" s="238" t="s">
        <v>15</v>
      </c>
      <c r="D917" s="240">
        <v>686500</v>
      </c>
      <c r="G917" s="237"/>
    </row>
    <row r="918" spans="1:7" ht="27.6">
      <c r="A918" s="245">
        <v>230601</v>
      </c>
      <c r="B918" s="239" t="s">
        <v>1484</v>
      </c>
      <c r="C918" s="238" t="s">
        <v>15</v>
      </c>
      <c r="D918" s="240">
        <v>41300</v>
      </c>
      <c r="G918" s="237"/>
    </row>
    <row r="919" spans="1:7" ht="27.6">
      <c r="A919" s="245">
        <v>230602</v>
      </c>
      <c r="B919" s="239" t="s">
        <v>1485</v>
      </c>
      <c r="C919" s="238" t="s">
        <v>15</v>
      </c>
      <c r="D919" s="240">
        <v>10600</v>
      </c>
      <c r="G919" s="237"/>
    </row>
    <row r="920" spans="1:7" ht="27.6">
      <c r="A920" s="245">
        <v>230701</v>
      </c>
      <c r="B920" s="239" t="s">
        <v>1486</v>
      </c>
      <c r="C920" s="238" t="s">
        <v>15</v>
      </c>
      <c r="D920" s="240">
        <v>6480</v>
      </c>
      <c r="G920" s="237"/>
    </row>
    <row r="921" spans="1:7" ht="27.6">
      <c r="A921" s="245">
        <v>230801</v>
      </c>
      <c r="B921" s="239" t="s">
        <v>1487</v>
      </c>
      <c r="C921" s="238" t="s">
        <v>15</v>
      </c>
      <c r="D921" s="240">
        <v>122500</v>
      </c>
      <c r="G921" s="237"/>
    </row>
    <row r="922" spans="1:7" ht="27.6">
      <c r="A922" s="245">
        <v>230802</v>
      </c>
      <c r="B922" s="239" t="s">
        <v>1488</v>
      </c>
      <c r="C922" s="238" t="s">
        <v>15</v>
      </c>
      <c r="D922" s="240">
        <v>153500</v>
      </c>
      <c r="G922" s="237"/>
    </row>
    <row r="923" spans="1:7" ht="27.6">
      <c r="A923" s="245">
        <v>230804</v>
      </c>
      <c r="B923" s="239" t="s">
        <v>1489</v>
      </c>
      <c r="C923" s="238" t="s">
        <v>15</v>
      </c>
      <c r="D923" s="240">
        <v>147500</v>
      </c>
      <c r="G923" s="237"/>
    </row>
    <row r="924" spans="1:7">
      <c r="A924" s="245">
        <v>230901</v>
      </c>
      <c r="B924" s="239" t="s">
        <v>1490</v>
      </c>
      <c r="C924" s="238" t="s">
        <v>242</v>
      </c>
      <c r="D924" s="240">
        <v>127000</v>
      </c>
      <c r="G924" s="237"/>
    </row>
    <row r="925" spans="1:7" ht="27.6">
      <c r="A925" s="245">
        <v>230902</v>
      </c>
      <c r="B925" s="239" t="s">
        <v>1491</v>
      </c>
      <c r="C925" s="238" t="s">
        <v>242</v>
      </c>
      <c r="D925" s="240">
        <v>4670</v>
      </c>
      <c r="G925" s="237"/>
    </row>
    <row r="926" spans="1:7">
      <c r="A926" s="245">
        <v>230903</v>
      </c>
      <c r="B926" s="239" t="s">
        <v>1492</v>
      </c>
      <c r="C926" s="238" t="s">
        <v>242</v>
      </c>
      <c r="D926" s="240">
        <v>134500</v>
      </c>
      <c r="G926" s="237"/>
    </row>
    <row r="927" spans="1:7" ht="27.6">
      <c r="A927" s="245">
        <v>230904</v>
      </c>
      <c r="B927" s="239" t="s">
        <v>1493</v>
      </c>
      <c r="C927" s="238" t="s">
        <v>242</v>
      </c>
      <c r="D927" s="240">
        <v>5130</v>
      </c>
      <c r="G927" s="237"/>
    </row>
    <row r="928" spans="1:7">
      <c r="A928" s="245">
        <v>230905</v>
      </c>
      <c r="B928" s="239" t="s">
        <v>1494</v>
      </c>
      <c r="C928" s="238" t="s">
        <v>242</v>
      </c>
      <c r="D928" s="240">
        <v>164000</v>
      </c>
      <c r="G928" s="237"/>
    </row>
    <row r="929" spans="1:7" ht="27.6">
      <c r="A929" s="245">
        <v>230906</v>
      </c>
      <c r="B929" s="239" t="s">
        <v>1495</v>
      </c>
      <c r="C929" s="238" t="s">
        <v>1496</v>
      </c>
      <c r="D929" s="240">
        <v>300000</v>
      </c>
      <c r="G929" s="237"/>
    </row>
    <row r="930" spans="1:7">
      <c r="A930" s="245">
        <v>231001</v>
      </c>
      <c r="B930" s="239" t="s">
        <v>1497</v>
      </c>
      <c r="C930" s="238" t="s">
        <v>335</v>
      </c>
      <c r="D930" s="240">
        <v>256000</v>
      </c>
      <c r="G930" s="237"/>
    </row>
    <row r="931" spans="1:7">
      <c r="A931" s="245">
        <v>231002</v>
      </c>
      <c r="B931" s="239" t="s">
        <v>1498</v>
      </c>
      <c r="C931" s="238" t="s">
        <v>335</v>
      </c>
      <c r="D931" s="240">
        <v>140500</v>
      </c>
      <c r="G931" s="237"/>
    </row>
    <row r="932" spans="1:7">
      <c r="A932" s="245">
        <v>231003</v>
      </c>
      <c r="B932" s="239" t="s">
        <v>1499</v>
      </c>
      <c r="C932" s="238" t="s">
        <v>161</v>
      </c>
      <c r="D932" s="240">
        <v>125000</v>
      </c>
      <c r="G932" s="237"/>
    </row>
    <row r="933" spans="1:7" ht="27.6">
      <c r="A933" s="245">
        <v>231101</v>
      </c>
      <c r="B933" s="239" t="s">
        <v>1500</v>
      </c>
      <c r="C933" s="238" t="s">
        <v>15</v>
      </c>
      <c r="D933" s="240">
        <v>2862000</v>
      </c>
      <c r="G933" s="237"/>
    </row>
    <row r="934" spans="1:7" ht="27.6">
      <c r="A934" s="245">
        <v>231102</v>
      </c>
      <c r="B934" s="239" t="s">
        <v>1501</v>
      </c>
      <c r="C934" s="238" t="s">
        <v>15</v>
      </c>
      <c r="D934" s="240">
        <v>1911000</v>
      </c>
      <c r="G934" s="237"/>
    </row>
    <row r="935" spans="1:7" ht="27.6">
      <c r="A935" s="245">
        <v>231103</v>
      </c>
      <c r="B935" s="239" t="s">
        <v>1502</v>
      </c>
      <c r="C935" s="238" t="s">
        <v>15</v>
      </c>
      <c r="D935" s="240">
        <v>1487000</v>
      </c>
      <c r="G935" s="237"/>
    </row>
    <row r="936" spans="1:7" ht="55.2">
      <c r="A936" s="245">
        <v>231201</v>
      </c>
      <c r="B936" s="239" t="s">
        <v>1503</v>
      </c>
      <c r="C936" s="238" t="s">
        <v>15</v>
      </c>
      <c r="D936" s="240">
        <v>78400</v>
      </c>
      <c r="G936" s="237"/>
    </row>
    <row r="937" spans="1:7" ht="41.4">
      <c r="A937" s="245">
        <v>231202</v>
      </c>
      <c r="B937" s="239" t="s">
        <v>1504</v>
      </c>
      <c r="C937" s="238" t="s">
        <v>15</v>
      </c>
      <c r="D937" s="240">
        <v>67400</v>
      </c>
      <c r="G937" s="237"/>
    </row>
    <row r="938" spans="1:7" ht="27.6">
      <c r="A938" s="245">
        <v>231203</v>
      </c>
      <c r="B938" s="239" t="s">
        <v>1505</v>
      </c>
      <c r="C938" s="238" t="s">
        <v>15</v>
      </c>
      <c r="D938" s="240">
        <v>3000</v>
      </c>
      <c r="G938" s="237"/>
    </row>
    <row r="939" spans="1:7" ht="27.6">
      <c r="A939" s="245">
        <v>231204</v>
      </c>
      <c r="B939" s="239" t="s">
        <v>1506</v>
      </c>
      <c r="C939" s="238" t="s">
        <v>15</v>
      </c>
      <c r="D939" s="240"/>
      <c r="G939" s="237"/>
    </row>
    <row r="940" spans="1:7" ht="27.6">
      <c r="A940" s="245">
        <v>231205</v>
      </c>
      <c r="B940" s="239" t="s">
        <v>1507</v>
      </c>
      <c r="C940" s="238" t="s">
        <v>15</v>
      </c>
      <c r="D940" s="240">
        <v>103000</v>
      </c>
      <c r="G940" s="237"/>
    </row>
    <row r="941" spans="1:7" ht="55.2">
      <c r="A941" s="245">
        <v>231206</v>
      </c>
      <c r="B941" s="239" t="s">
        <v>1508</v>
      </c>
      <c r="C941" s="238" t="s">
        <v>15</v>
      </c>
      <c r="D941" s="240">
        <v>126500</v>
      </c>
      <c r="G941" s="237"/>
    </row>
    <row r="942" spans="1:7" ht="41.4">
      <c r="A942" s="245">
        <v>231207</v>
      </c>
      <c r="B942" s="239" t="s">
        <v>1509</v>
      </c>
      <c r="C942" s="238" t="s">
        <v>15</v>
      </c>
      <c r="D942" s="240">
        <v>78900</v>
      </c>
      <c r="G942" s="237"/>
    </row>
    <row r="943" spans="1:7" ht="27.6">
      <c r="A943" s="245">
        <v>231208</v>
      </c>
      <c r="B943" s="239" t="s">
        <v>1510</v>
      </c>
      <c r="C943" s="238" t="s">
        <v>15</v>
      </c>
      <c r="D943" s="240">
        <v>1750</v>
      </c>
      <c r="G943" s="237"/>
    </row>
    <row r="944" spans="1:7" ht="41.4">
      <c r="A944" s="245">
        <v>231301</v>
      </c>
      <c r="B944" s="239" t="s">
        <v>1511</v>
      </c>
      <c r="C944" s="238" t="s">
        <v>1512</v>
      </c>
      <c r="D944" s="240">
        <v>331000</v>
      </c>
      <c r="G944" s="237"/>
    </row>
    <row r="945" spans="1:7" ht="41.4">
      <c r="A945" s="245">
        <v>231302</v>
      </c>
      <c r="B945" s="239" t="s">
        <v>1513</v>
      </c>
      <c r="C945" s="238" t="s">
        <v>1512</v>
      </c>
      <c r="D945" s="240">
        <v>86000</v>
      </c>
      <c r="G945" s="237"/>
    </row>
    <row r="946" spans="1:7" ht="41.4">
      <c r="A946" s="245">
        <v>231401</v>
      </c>
      <c r="B946" s="239" t="s">
        <v>1514</v>
      </c>
      <c r="C946" s="238" t="s">
        <v>15</v>
      </c>
      <c r="D946" s="240">
        <v>540000</v>
      </c>
      <c r="G946" s="237"/>
    </row>
    <row r="947" spans="1:7" ht="41.4">
      <c r="A947" s="245">
        <v>231402</v>
      </c>
      <c r="B947" s="239" t="s">
        <v>1515</v>
      </c>
      <c r="C947" s="238" t="s">
        <v>242</v>
      </c>
      <c r="D947" s="240">
        <v>360000</v>
      </c>
      <c r="G947" s="237"/>
    </row>
    <row r="948" spans="1:7" ht="27.6">
      <c r="A948" s="245">
        <v>231403</v>
      </c>
      <c r="B948" s="239" t="s">
        <v>1516</v>
      </c>
      <c r="C948" s="238" t="s">
        <v>242</v>
      </c>
      <c r="D948" s="240">
        <v>120000</v>
      </c>
      <c r="G948" s="237"/>
    </row>
    <row r="949" spans="1:7" ht="41.4">
      <c r="A949" s="245">
        <v>231501</v>
      </c>
      <c r="B949" s="239" t="s">
        <v>1517</v>
      </c>
      <c r="C949" s="238" t="s">
        <v>242</v>
      </c>
      <c r="D949" s="240">
        <v>89000</v>
      </c>
      <c r="G949" s="237"/>
    </row>
    <row r="950" spans="1:7" ht="27.6">
      <c r="A950" s="245">
        <v>231502</v>
      </c>
      <c r="B950" s="239" t="s">
        <v>1518</v>
      </c>
      <c r="C950" s="238" t="s">
        <v>242</v>
      </c>
      <c r="D950" s="240">
        <v>69000</v>
      </c>
      <c r="G950" s="237"/>
    </row>
    <row r="951" spans="1:7" ht="41.4">
      <c r="A951" s="245">
        <v>231601</v>
      </c>
      <c r="B951" s="239" t="s">
        <v>1519</v>
      </c>
      <c r="C951" s="238" t="s">
        <v>15</v>
      </c>
      <c r="D951" s="240">
        <v>450000</v>
      </c>
      <c r="G951" s="237"/>
    </row>
    <row r="952" spans="1:7" ht="27.6">
      <c r="A952" s="245">
        <v>231602</v>
      </c>
      <c r="B952" s="239" t="s">
        <v>1520</v>
      </c>
      <c r="C952" s="238" t="s">
        <v>15</v>
      </c>
      <c r="D952" s="240">
        <v>110000</v>
      </c>
      <c r="G952" s="237"/>
    </row>
    <row r="953" spans="1:7">
      <c r="A953" s="245">
        <v>240101</v>
      </c>
      <c r="B953" s="239" t="s">
        <v>1521</v>
      </c>
      <c r="C953" s="238" t="s">
        <v>15</v>
      </c>
      <c r="D953" s="240">
        <v>173000</v>
      </c>
      <c r="G953" s="237"/>
    </row>
    <row r="954" spans="1:7">
      <c r="A954" s="245">
        <v>240102</v>
      </c>
      <c r="B954" s="239" t="s">
        <v>1522</v>
      </c>
      <c r="C954" s="238" t="s">
        <v>15</v>
      </c>
      <c r="D954" s="240">
        <v>178000</v>
      </c>
      <c r="G954" s="237"/>
    </row>
    <row r="955" spans="1:7">
      <c r="A955" s="245">
        <v>240103</v>
      </c>
      <c r="B955" s="239" t="s">
        <v>1523</v>
      </c>
      <c r="C955" s="238" t="s">
        <v>15</v>
      </c>
      <c r="D955" s="240">
        <v>252500</v>
      </c>
      <c r="G955" s="237"/>
    </row>
    <row r="956" spans="1:7">
      <c r="A956" s="245">
        <v>240104</v>
      </c>
      <c r="B956" s="239" t="s">
        <v>1524</v>
      </c>
      <c r="C956" s="238" t="s">
        <v>15</v>
      </c>
      <c r="D956" s="240">
        <v>280500</v>
      </c>
      <c r="G956" s="237"/>
    </row>
    <row r="957" spans="1:7">
      <c r="A957" s="245">
        <v>240105</v>
      </c>
      <c r="B957" s="239" t="s">
        <v>1525</v>
      </c>
      <c r="C957" s="238" t="s">
        <v>15</v>
      </c>
      <c r="D957" s="240">
        <v>332000</v>
      </c>
      <c r="G957" s="237"/>
    </row>
    <row r="958" spans="1:7">
      <c r="A958" s="245">
        <v>240106</v>
      </c>
      <c r="B958" s="239" t="s">
        <v>1526</v>
      </c>
      <c r="C958" s="238" t="s">
        <v>15</v>
      </c>
      <c r="D958" s="240">
        <v>364000</v>
      </c>
      <c r="G958" s="237"/>
    </row>
    <row r="959" spans="1:7">
      <c r="A959" s="245">
        <v>240201</v>
      </c>
      <c r="B959" s="239" t="s">
        <v>1527</v>
      </c>
      <c r="C959" s="238" t="s">
        <v>15</v>
      </c>
      <c r="D959" s="240">
        <v>200500</v>
      </c>
      <c r="G959" s="237"/>
    </row>
    <row r="960" spans="1:7">
      <c r="A960" s="245">
        <v>240202</v>
      </c>
      <c r="B960" s="239" t="s">
        <v>1528</v>
      </c>
      <c r="C960" s="238" t="s">
        <v>15</v>
      </c>
      <c r="D960" s="240">
        <v>309500</v>
      </c>
      <c r="G960" s="237"/>
    </row>
    <row r="961" spans="1:7">
      <c r="A961" s="245">
        <v>240203</v>
      </c>
      <c r="B961" s="239" t="s">
        <v>1529</v>
      </c>
      <c r="C961" s="238" t="s">
        <v>15</v>
      </c>
      <c r="D961" s="240">
        <v>566500</v>
      </c>
      <c r="G961" s="237"/>
    </row>
    <row r="962" spans="1:7" ht="27.6">
      <c r="A962" s="245">
        <v>240301</v>
      </c>
      <c r="B962" s="239" t="s">
        <v>1530</v>
      </c>
      <c r="C962" s="238" t="s">
        <v>15</v>
      </c>
      <c r="D962" s="240">
        <v>336000</v>
      </c>
      <c r="G962" s="237"/>
    </row>
    <row r="963" spans="1:7" ht="27.6">
      <c r="A963" s="245">
        <v>240302</v>
      </c>
      <c r="B963" s="239" t="s">
        <v>1531</v>
      </c>
      <c r="C963" s="238" t="s">
        <v>15</v>
      </c>
      <c r="D963" s="240">
        <v>394000</v>
      </c>
      <c r="G963" s="237"/>
    </row>
    <row r="964" spans="1:7" ht="27.6">
      <c r="A964" s="245">
        <v>240303</v>
      </c>
      <c r="B964" s="239" t="s">
        <v>1532</v>
      </c>
      <c r="C964" s="238" t="s">
        <v>15</v>
      </c>
      <c r="D964" s="240">
        <v>421000</v>
      </c>
      <c r="G964" s="237"/>
    </row>
    <row r="965" spans="1:7" ht="27.6">
      <c r="A965" s="245">
        <v>240304</v>
      </c>
      <c r="B965" s="239" t="s">
        <v>1533</v>
      </c>
      <c r="C965" s="238" t="s">
        <v>15</v>
      </c>
      <c r="D965" s="240">
        <v>483000</v>
      </c>
      <c r="G965" s="237"/>
    </row>
    <row r="966" spans="1:7" ht="27.6">
      <c r="A966" s="245">
        <v>240305</v>
      </c>
      <c r="B966" s="239" t="s">
        <v>1534</v>
      </c>
      <c r="C966" s="238" t="s">
        <v>15</v>
      </c>
      <c r="D966" s="240">
        <v>587000</v>
      </c>
      <c r="G966" s="237"/>
    </row>
    <row r="967" spans="1:7" ht="41.4">
      <c r="A967" s="245">
        <v>240306</v>
      </c>
      <c r="B967" s="239" t="s">
        <v>1535</v>
      </c>
      <c r="C967" s="238" t="s">
        <v>15</v>
      </c>
      <c r="D967" s="240">
        <v>530500</v>
      </c>
      <c r="G967" s="237"/>
    </row>
    <row r="968" spans="1:7">
      <c r="A968" s="245">
        <v>240401</v>
      </c>
      <c r="B968" s="239" t="s">
        <v>1536</v>
      </c>
      <c r="C968" s="238" t="s">
        <v>15</v>
      </c>
      <c r="D968" s="240">
        <v>245500</v>
      </c>
      <c r="G968" s="237"/>
    </row>
    <row r="969" spans="1:7">
      <c r="A969" s="245">
        <v>240402</v>
      </c>
      <c r="B969" s="239" t="s">
        <v>1537</v>
      </c>
      <c r="C969" s="238" t="s">
        <v>15</v>
      </c>
      <c r="D969" s="240">
        <v>465000</v>
      </c>
      <c r="G969" s="237"/>
    </row>
    <row r="970" spans="1:7" ht="27.6">
      <c r="A970" s="245">
        <v>240501</v>
      </c>
      <c r="B970" s="239" t="s">
        <v>1538</v>
      </c>
      <c r="C970" s="238" t="s">
        <v>15</v>
      </c>
      <c r="D970" s="240">
        <v>1093000</v>
      </c>
      <c r="G970" s="237"/>
    </row>
    <row r="971" spans="1:7" ht="27.6">
      <c r="A971" s="245">
        <v>240502</v>
      </c>
      <c r="B971" s="239" t="s">
        <v>1539</v>
      </c>
      <c r="C971" s="238" t="s">
        <v>15</v>
      </c>
      <c r="D971" s="240">
        <v>651500</v>
      </c>
      <c r="G971" s="237"/>
    </row>
    <row r="972" spans="1:7" ht="27.6">
      <c r="A972" s="245">
        <v>240503</v>
      </c>
      <c r="B972" s="239" t="s">
        <v>1540</v>
      </c>
      <c r="C972" s="238" t="s">
        <v>15</v>
      </c>
      <c r="D972" s="240">
        <v>3015000</v>
      </c>
      <c r="G972" s="237"/>
    </row>
    <row r="973" spans="1:7">
      <c r="A973" s="245">
        <v>240601</v>
      </c>
      <c r="B973" s="239" t="s">
        <v>1541</v>
      </c>
      <c r="C973" s="238" t="s">
        <v>15</v>
      </c>
      <c r="D973" s="240">
        <v>98600</v>
      </c>
      <c r="G973" s="237"/>
    </row>
    <row r="974" spans="1:7" ht="27.6">
      <c r="A974" s="245">
        <v>240701</v>
      </c>
      <c r="B974" s="239" t="s">
        <v>1542</v>
      </c>
      <c r="C974" s="238" t="s">
        <v>15</v>
      </c>
      <c r="D974" s="240">
        <v>500</v>
      </c>
      <c r="G974" s="237"/>
    </row>
    <row r="975" spans="1:7" ht="27.6">
      <c r="A975" s="245">
        <v>240702</v>
      </c>
      <c r="B975" s="239" t="s">
        <v>1543</v>
      </c>
      <c r="C975" s="238" t="s">
        <v>15</v>
      </c>
      <c r="D975" s="240">
        <v>65800</v>
      </c>
      <c r="G975" s="237"/>
    </row>
    <row r="976" spans="1:7" ht="27.6">
      <c r="A976" s="245">
        <v>240703</v>
      </c>
      <c r="B976" s="239" t="s">
        <v>1544</v>
      </c>
      <c r="C976" s="238" t="s">
        <v>15</v>
      </c>
      <c r="D976" s="240">
        <v>21600</v>
      </c>
      <c r="G976" s="237"/>
    </row>
    <row r="977" spans="1:7">
      <c r="A977" s="245">
        <v>240704</v>
      </c>
      <c r="B977" s="239" t="s">
        <v>1545</v>
      </c>
      <c r="C977" s="238" t="s">
        <v>15</v>
      </c>
      <c r="D977" s="240">
        <v>113500</v>
      </c>
      <c r="G977" s="237"/>
    </row>
    <row r="978" spans="1:7" ht="27.6">
      <c r="A978" s="245">
        <v>240705</v>
      </c>
      <c r="B978" s="239" t="s">
        <v>1546</v>
      </c>
      <c r="C978" s="238" t="s">
        <v>335</v>
      </c>
      <c r="D978" s="240">
        <v>7520</v>
      </c>
      <c r="G978" s="237"/>
    </row>
    <row r="979" spans="1:7" ht="27.6">
      <c r="A979" s="245">
        <v>240706</v>
      </c>
      <c r="B979" s="239" t="s">
        <v>1547</v>
      </c>
      <c r="C979" s="238" t="s">
        <v>242</v>
      </c>
      <c r="D979" s="240">
        <v>107000</v>
      </c>
      <c r="G979" s="237"/>
    </row>
    <row r="980" spans="1:7" ht="27.6">
      <c r="A980" s="245">
        <v>240707</v>
      </c>
      <c r="B980" s="239" t="s">
        <v>1548</v>
      </c>
      <c r="C980" s="238" t="s">
        <v>15</v>
      </c>
      <c r="D980" s="243">
        <v>-10200</v>
      </c>
      <c r="G980" s="237"/>
    </row>
    <row r="981" spans="1:7" ht="27.6">
      <c r="A981" s="245">
        <v>240708</v>
      </c>
      <c r="B981" s="239" t="s">
        <v>1549</v>
      </c>
      <c r="C981" s="238" t="s">
        <v>15</v>
      </c>
      <c r="D981" s="243">
        <v>-28300</v>
      </c>
      <c r="G981" s="237"/>
    </row>
    <row r="982" spans="1:7">
      <c r="A982" s="245">
        <v>240801</v>
      </c>
      <c r="B982" s="239" t="s">
        <v>1550</v>
      </c>
      <c r="C982" s="238" t="s">
        <v>15</v>
      </c>
      <c r="D982" s="240">
        <v>201000</v>
      </c>
      <c r="G982" s="237"/>
    </row>
    <row r="983" spans="1:7">
      <c r="A983" s="245">
        <v>250101</v>
      </c>
      <c r="B983" s="239" t="s">
        <v>1551</v>
      </c>
      <c r="C983" s="238" t="s">
        <v>335</v>
      </c>
      <c r="D983" s="240">
        <v>785</v>
      </c>
      <c r="G983" s="237"/>
    </row>
    <row r="984" spans="1:7" ht="27.6">
      <c r="A984" s="245">
        <v>250102</v>
      </c>
      <c r="B984" s="239" t="s">
        <v>1552</v>
      </c>
      <c r="C984" s="238" t="s">
        <v>15</v>
      </c>
      <c r="D984" s="240">
        <v>21000</v>
      </c>
      <c r="G984" s="237"/>
    </row>
    <row r="985" spans="1:7" ht="27.6">
      <c r="A985" s="245">
        <v>250201</v>
      </c>
      <c r="B985" s="239" t="s">
        <v>1553</v>
      </c>
      <c r="C985" s="238" t="s">
        <v>335</v>
      </c>
      <c r="D985" s="240">
        <v>3150</v>
      </c>
      <c r="G985" s="237"/>
    </row>
    <row r="986" spans="1:7" ht="27.6">
      <c r="A986" s="245">
        <v>250202</v>
      </c>
      <c r="B986" s="239" t="s">
        <v>1554</v>
      </c>
      <c r="C986" s="238" t="s">
        <v>15</v>
      </c>
      <c r="D986" s="240">
        <v>69800</v>
      </c>
      <c r="G986" s="237"/>
    </row>
    <row r="987" spans="1:7">
      <c r="A987" s="245">
        <v>250203</v>
      </c>
      <c r="B987" s="239" t="s">
        <v>1555</v>
      </c>
      <c r="C987" s="238" t="s">
        <v>335</v>
      </c>
      <c r="D987" s="240">
        <v>3890</v>
      </c>
      <c r="G987" s="237"/>
    </row>
    <row r="988" spans="1:7" ht="27.6">
      <c r="A988" s="245">
        <v>250204</v>
      </c>
      <c r="B988" s="239" t="s">
        <v>1556</v>
      </c>
      <c r="C988" s="238" t="s">
        <v>15</v>
      </c>
      <c r="D988" s="240">
        <v>86700</v>
      </c>
      <c r="G988" s="237"/>
    </row>
    <row r="989" spans="1:7">
      <c r="A989" s="245">
        <v>250301</v>
      </c>
      <c r="B989" s="239" t="s">
        <v>1557</v>
      </c>
      <c r="C989" s="238" t="s">
        <v>335</v>
      </c>
      <c r="D989" s="240">
        <v>1180</v>
      </c>
      <c r="G989" s="237"/>
    </row>
    <row r="990" spans="1:7" ht="27.6">
      <c r="A990" s="245">
        <v>250302</v>
      </c>
      <c r="B990" s="239" t="s">
        <v>1558</v>
      </c>
      <c r="C990" s="238" t="s">
        <v>15</v>
      </c>
      <c r="D990" s="240">
        <v>36200</v>
      </c>
      <c r="G990" s="237"/>
    </row>
    <row r="991" spans="1:7" ht="27.6">
      <c r="A991" s="245">
        <v>250303</v>
      </c>
      <c r="B991" s="239" t="s">
        <v>1559</v>
      </c>
      <c r="C991" s="238" t="s">
        <v>15</v>
      </c>
      <c r="D991" s="240">
        <v>155500</v>
      </c>
      <c r="G991" s="237"/>
    </row>
    <row r="992" spans="1:7">
      <c r="A992" s="245">
        <v>250304</v>
      </c>
      <c r="B992" s="239" t="s">
        <v>1560</v>
      </c>
      <c r="C992" s="238" t="s">
        <v>15</v>
      </c>
      <c r="D992" s="240">
        <v>131000</v>
      </c>
      <c r="G992" s="237"/>
    </row>
    <row r="993" spans="1:7">
      <c r="A993" s="245">
        <v>250305</v>
      </c>
      <c r="B993" s="239" t="s">
        <v>1561</v>
      </c>
      <c r="C993" s="238" t="s">
        <v>15</v>
      </c>
      <c r="D993" s="240">
        <v>136000</v>
      </c>
      <c r="G993" s="237"/>
    </row>
    <row r="994" spans="1:7" ht="27.6">
      <c r="A994" s="245">
        <v>250306</v>
      </c>
      <c r="B994" s="239" t="s">
        <v>1562</v>
      </c>
      <c r="C994" s="238" t="s">
        <v>15</v>
      </c>
      <c r="D994" s="240">
        <v>181500</v>
      </c>
      <c r="G994" s="237"/>
    </row>
    <row r="995" spans="1:7" ht="27.6">
      <c r="A995" s="245">
        <v>250307</v>
      </c>
      <c r="B995" s="239" t="s">
        <v>1563</v>
      </c>
      <c r="C995" s="238" t="s">
        <v>15</v>
      </c>
      <c r="D995" s="240">
        <v>6460</v>
      </c>
      <c r="G995" s="237"/>
    </row>
    <row r="996" spans="1:7" ht="27.6">
      <c r="A996" s="245">
        <v>250308</v>
      </c>
      <c r="B996" s="239" t="s">
        <v>1564</v>
      </c>
      <c r="C996" s="238" t="s">
        <v>15</v>
      </c>
      <c r="D996" s="240">
        <v>181500</v>
      </c>
      <c r="G996" s="237"/>
    </row>
    <row r="997" spans="1:7" ht="27.6">
      <c r="A997" s="245">
        <v>250309</v>
      </c>
      <c r="B997" s="239" t="s">
        <v>1565</v>
      </c>
      <c r="C997" s="238" t="s">
        <v>15</v>
      </c>
      <c r="D997" s="240">
        <v>6470</v>
      </c>
      <c r="G997" s="237"/>
    </row>
    <row r="998" spans="1:7" ht="27.6">
      <c r="A998" s="245">
        <v>250310</v>
      </c>
      <c r="B998" s="239" t="s">
        <v>1566</v>
      </c>
      <c r="C998" s="238" t="s">
        <v>15</v>
      </c>
      <c r="D998" s="240">
        <v>195000</v>
      </c>
      <c r="G998" s="237"/>
    </row>
    <row r="999" spans="1:7" ht="27.6">
      <c r="A999" s="245">
        <v>250311</v>
      </c>
      <c r="B999" s="239" t="s">
        <v>1567</v>
      </c>
      <c r="C999" s="238" t="s">
        <v>15</v>
      </c>
      <c r="D999" s="240">
        <v>6410</v>
      </c>
      <c r="G999" s="237"/>
    </row>
    <row r="1000" spans="1:7">
      <c r="A1000" s="245">
        <v>250401</v>
      </c>
      <c r="B1000" s="239" t="s">
        <v>1568</v>
      </c>
      <c r="C1000" s="238" t="s">
        <v>15</v>
      </c>
      <c r="D1000" s="240">
        <v>135500</v>
      </c>
      <c r="G1000" s="237"/>
    </row>
    <row r="1001" spans="1:7">
      <c r="A1001" s="245">
        <v>250402</v>
      </c>
      <c r="B1001" s="239" t="s">
        <v>1569</v>
      </c>
      <c r="C1001" s="238" t="s">
        <v>15</v>
      </c>
      <c r="D1001" s="240">
        <v>673000</v>
      </c>
      <c r="G1001" s="237"/>
    </row>
    <row r="1002" spans="1:7">
      <c r="A1002" s="245">
        <v>250403</v>
      </c>
      <c r="B1002" s="239" t="s">
        <v>1570</v>
      </c>
      <c r="C1002" s="238" t="s">
        <v>15</v>
      </c>
      <c r="D1002" s="240">
        <v>162500</v>
      </c>
      <c r="G1002" s="237"/>
    </row>
    <row r="1003" spans="1:7">
      <c r="A1003" s="245">
        <v>250404</v>
      </c>
      <c r="B1003" s="239" t="s">
        <v>1571</v>
      </c>
      <c r="C1003" s="238" t="s">
        <v>15</v>
      </c>
      <c r="D1003" s="240">
        <v>150500</v>
      </c>
      <c r="G1003" s="237"/>
    </row>
    <row r="1004" spans="1:7" ht="27.6">
      <c r="A1004" s="245">
        <v>250501</v>
      </c>
      <c r="B1004" s="239" t="s">
        <v>1572</v>
      </c>
      <c r="C1004" s="238" t="s">
        <v>15</v>
      </c>
      <c r="D1004" s="240">
        <v>103500</v>
      </c>
      <c r="G1004" s="237"/>
    </row>
    <row r="1005" spans="1:7" ht="27.6">
      <c r="A1005" s="245">
        <v>250502</v>
      </c>
      <c r="B1005" s="239" t="s">
        <v>1573</v>
      </c>
      <c r="C1005" s="238" t="s">
        <v>15</v>
      </c>
      <c r="D1005" s="240">
        <v>83900</v>
      </c>
      <c r="G1005" s="237"/>
    </row>
    <row r="1006" spans="1:7" ht="27.6">
      <c r="A1006" s="245">
        <v>250503</v>
      </c>
      <c r="B1006" s="239" t="s">
        <v>1574</v>
      </c>
      <c r="C1006" s="238" t="s">
        <v>15</v>
      </c>
      <c r="D1006" s="240">
        <v>28100</v>
      </c>
      <c r="G1006" s="237"/>
    </row>
    <row r="1007" spans="1:7" ht="27.6">
      <c r="A1007" s="245">
        <v>250504</v>
      </c>
      <c r="B1007" s="239" t="s">
        <v>1575</v>
      </c>
      <c r="C1007" s="238" t="s">
        <v>15</v>
      </c>
      <c r="D1007" s="240">
        <v>104500</v>
      </c>
      <c r="G1007" s="237"/>
    </row>
    <row r="1008" spans="1:7" ht="27.6">
      <c r="A1008" s="245">
        <v>250505</v>
      </c>
      <c r="B1008" s="239" t="s">
        <v>1576</v>
      </c>
      <c r="C1008" s="238" t="s">
        <v>15</v>
      </c>
      <c r="D1008" s="240">
        <v>129000</v>
      </c>
      <c r="G1008" s="237"/>
    </row>
    <row r="1009" spans="1:7" ht="27.6">
      <c r="A1009" s="245">
        <v>250506</v>
      </c>
      <c r="B1009" s="239" t="s">
        <v>1577</v>
      </c>
      <c r="C1009" s="238" t="s">
        <v>15</v>
      </c>
      <c r="D1009" s="240">
        <v>48300</v>
      </c>
      <c r="G1009" s="237"/>
    </row>
    <row r="1010" spans="1:7" ht="27.6">
      <c r="A1010" s="245">
        <v>250601</v>
      </c>
      <c r="B1010" s="239" t="s">
        <v>1578</v>
      </c>
      <c r="C1010" s="238" t="s">
        <v>242</v>
      </c>
      <c r="D1010" s="240">
        <v>11000</v>
      </c>
      <c r="G1010" s="237"/>
    </row>
    <row r="1011" spans="1:7" ht="27.6">
      <c r="A1011" s="245">
        <v>250602</v>
      </c>
      <c r="B1011" s="239" t="s">
        <v>1579</v>
      </c>
      <c r="C1011" s="238" t="s">
        <v>242</v>
      </c>
      <c r="D1011" s="240">
        <v>10800</v>
      </c>
      <c r="G1011" s="237"/>
    </row>
    <row r="1012" spans="1:7" ht="27.6">
      <c r="A1012" s="245">
        <v>250603</v>
      </c>
      <c r="B1012" s="239" t="s">
        <v>1580</v>
      </c>
      <c r="C1012" s="238" t="s">
        <v>15</v>
      </c>
      <c r="D1012" s="240">
        <v>385500</v>
      </c>
      <c r="G1012" s="237"/>
    </row>
    <row r="1013" spans="1:7" ht="27.6">
      <c r="A1013" s="245">
        <v>250701</v>
      </c>
      <c r="B1013" s="239" t="s">
        <v>1581</v>
      </c>
      <c r="C1013" s="238" t="s">
        <v>15</v>
      </c>
      <c r="D1013" s="240">
        <v>40100</v>
      </c>
      <c r="G1013" s="237"/>
    </row>
    <row r="1014" spans="1:7" ht="27.6">
      <c r="A1014" s="245">
        <v>250702</v>
      </c>
      <c r="B1014" s="239" t="s">
        <v>1582</v>
      </c>
      <c r="C1014" s="238" t="s">
        <v>15</v>
      </c>
      <c r="D1014" s="240">
        <v>64000</v>
      </c>
      <c r="G1014" s="237"/>
    </row>
    <row r="1015" spans="1:7" ht="41.4">
      <c r="A1015" s="245">
        <v>250703</v>
      </c>
      <c r="B1015" s="239" t="s">
        <v>1583</v>
      </c>
      <c r="C1015" s="238" t="s">
        <v>15</v>
      </c>
      <c r="D1015" s="240">
        <v>62900</v>
      </c>
      <c r="G1015" s="237"/>
    </row>
    <row r="1016" spans="1:7" ht="27.6">
      <c r="A1016" s="245">
        <v>260101</v>
      </c>
      <c r="B1016" s="239" t="s">
        <v>1584</v>
      </c>
      <c r="C1016" s="238" t="s">
        <v>158</v>
      </c>
      <c r="D1016" s="240">
        <v>166000</v>
      </c>
      <c r="G1016" s="237"/>
    </row>
    <row r="1017" spans="1:7" ht="27.6">
      <c r="A1017" s="245">
        <v>260102</v>
      </c>
      <c r="B1017" s="239" t="s">
        <v>1585</v>
      </c>
      <c r="C1017" s="238" t="s">
        <v>158</v>
      </c>
      <c r="D1017" s="240">
        <v>168000</v>
      </c>
      <c r="G1017" s="237"/>
    </row>
    <row r="1018" spans="1:7" ht="27.6">
      <c r="A1018" s="245">
        <v>260103</v>
      </c>
      <c r="B1018" s="239" t="s">
        <v>1586</v>
      </c>
      <c r="C1018" s="238" t="s">
        <v>158</v>
      </c>
      <c r="D1018" s="240">
        <v>170000</v>
      </c>
      <c r="G1018" s="237"/>
    </row>
    <row r="1019" spans="1:7" ht="41.4">
      <c r="A1019" s="245">
        <v>260301</v>
      </c>
      <c r="B1019" s="239" t="s">
        <v>1587</v>
      </c>
      <c r="C1019" s="238" t="s">
        <v>158</v>
      </c>
      <c r="D1019" s="240">
        <v>219500</v>
      </c>
      <c r="G1019" s="237"/>
    </row>
    <row r="1020" spans="1:7" ht="41.4">
      <c r="A1020" s="245">
        <v>260302</v>
      </c>
      <c r="B1020" s="239" t="s">
        <v>1588</v>
      </c>
      <c r="C1020" s="238" t="s">
        <v>158</v>
      </c>
      <c r="D1020" s="240">
        <v>219500</v>
      </c>
      <c r="G1020" s="237"/>
    </row>
    <row r="1021" spans="1:7" ht="41.4">
      <c r="A1021" s="245">
        <v>260303</v>
      </c>
      <c r="B1021" s="239" t="s">
        <v>1589</v>
      </c>
      <c r="C1021" s="238" t="s">
        <v>158</v>
      </c>
      <c r="D1021" s="240">
        <v>231000</v>
      </c>
      <c r="G1021" s="237"/>
    </row>
    <row r="1022" spans="1:7" ht="41.4">
      <c r="A1022" s="245">
        <v>260401</v>
      </c>
      <c r="B1022" s="239" t="s">
        <v>1590</v>
      </c>
      <c r="C1022" s="238" t="s">
        <v>158</v>
      </c>
      <c r="D1022" s="240">
        <v>7000</v>
      </c>
      <c r="G1022" s="237"/>
    </row>
    <row r="1023" spans="1:7" ht="27.6">
      <c r="A1023" s="245">
        <v>260601</v>
      </c>
      <c r="B1023" s="239" t="s">
        <v>1591</v>
      </c>
      <c r="C1023" s="238" t="s">
        <v>158</v>
      </c>
      <c r="D1023" s="240">
        <v>31000</v>
      </c>
      <c r="G1023" s="237"/>
    </row>
    <row r="1024" spans="1:7" ht="27.6">
      <c r="A1024" s="245">
        <v>260602</v>
      </c>
      <c r="B1024" s="239" t="s">
        <v>1592</v>
      </c>
      <c r="C1024" s="238" t="s">
        <v>158</v>
      </c>
      <c r="D1024" s="240">
        <v>23100</v>
      </c>
      <c r="G1024" s="237"/>
    </row>
    <row r="1025" spans="1:7" ht="27.6">
      <c r="A1025" s="245">
        <v>260603</v>
      </c>
      <c r="B1025" s="239" t="s">
        <v>1593</v>
      </c>
      <c r="C1025" s="238" t="s">
        <v>158</v>
      </c>
      <c r="D1025" s="240">
        <v>27300</v>
      </c>
      <c r="G1025" s="237"/>
    </row>
    <row r="1026" spans="1:7" ht="27.6">
      <c r="A1026" s="245">
        <v>260604</v>
      </c>
      <c r="B1026" s="239" t="s">
        <v>1594</v>
      </c>
      <c r="C1026" s="238" t="s">
        <v>158</v>
      </c>
      <c r="D1026" s="240">
        <v>41100</v>
      </c>
      <c r="G1026" s="237"/>
    </row>
    <row r="1027" spans="1:7" ht="27.6">
      <c r="A1027" s="245">
        <v>260605</v>
      </c>
      <c r="B1027" s="239" t="s">
        <v>1595</v>
      </c>
      <c r="C1027" s="238" t="s">
        <v>158</v>
      </c>
      <c r="D1027" s="240">
        <v>37500</v>
      </c>
      <c r="G1027" s="237"/>
    </row>
    <row r="1028" spans="1:7" ht="27.6">
      <c r="A1028" s="245">
        <v>260701</v>
      </c>
      <c r="B1028" s="239" t="s">
        <v>1596</v>
      </c>
      <c r="C1028" s="238" t="s">
        <v>158</v>
      </c>
      <c r="D1028" s="240">
        <v>131500</v>
      </c>
      <c r="G1028" s="237"/>
    </row>
    <row r="1029" spans="1:7">
      <c r="A1029" s="245">
        <v>270101</v>
      </c>
      <c r="B1029" s="239" t="s">
        <v>1597</v>
      </c>
      <c r="C1029" s="238" t="s">
        <v>335</v>
      </c>
      <c r="D1029" s="240">
        <v>10300</v>
      </c>
      <c r="G1029" s="237"/>
    </row>
    <row r="1030" spans="1:7">
      <c r="A1030" s="245">
        <v>270201</v>
      </c>
      <c r="B1030" s="239" t="s">
        <v>1598</v>
      </c>
      <c r="C1030" s="238" t="s">
        <v>335</v>
      </c>
      <c r="D1030" s="240">
        <v>10700</v>
      </c>
      <c r="G1030" s="237"/>
    </row>
    <row r="1031" spans="1:7" ht="41.4">
      <c r="A1031" s="245">
        <v>270301</v>
      </c>
      <c r="B1031" s="239" t="s">
        <v>1599</v>
      </c>
      <c r="C1031" s="238" t="s">
        <v>15</v>
      </c>
      <c r="D1031" s="240">
        <v>24600</v>
      </c>
      <c r="G1031" s="237"/>
    </row>
    <row r="1032" spans="1:7" ht="41.4">
      <c r="A1032" s="245">
        <v>270302</v>
      </c>
      <c r="B1032" s="239" t="s">
        <v>1600</v>
      </c>
      <c r="C1032" s="238" t="s">
        <v>15</v>
      </c>
      <c r="D1032" s="240">
        <v>25000</v>
      </c>
      <c r="G1032" s="237"/>
    </row>
    <row r="1033" spans="1:7" ht="41.4">
      <c r="A1033" s="245">
        <v>270303</v>
      </c>
      <c r="B1033" s="239" t="s">
        <v>1601</v>
      </c>
      <c r="C1033" s="238" t="s">
        <v>15</v>
      </c>
      <c r="D1033" s="240">
        <v>26300</v>
      </c>
      <c r="G1033" s="237"/>
    </row>
    <row r="1034" spans="1:7" ht="41.4">
      <c r="A1034" s="245">
        <v>270304</v>
      </c>
      <c r="B1034" s="239" t="s">
        <v>1602</v>
      </c>
      <c r="C1034" s="238" t="s">
        <v>15</v>
      </c>
      <c r="D1034" s="240">
        <v>26400</v>
      </c>
      <c r="G1034" s="237"/>
    </row>
    <row r="1035" spans="1:7" ht="41.4">
      <c r="A1035" s="245">
        <v>270305</v>
      </c>
      <c r="B1035" s="239" t="s">
        <v>1603</v>
      </c>
      <c r="C1035" s="238" t="s">
        <v>15</v>
      </c>
      <c r="D1035" s="240">
        <v>28200</v>
      </c>
      <c r="G1035" s="237"/>
    </row>
    <row r="1036" spans="1:7" ht="41.4">
      <c r="A1036" s="245">
        <v>270306</v>
      </c>
      <c r="B1036" s="239" t="s">
        <v>1604</v>
      </c>
      <c r="C1036" s="238" t="s">
        <v>15</v>
      </c>
      <c r="D1036" s="240">
        <v>28600</v>
      </c>
      <c r="G1036" s="237"/>
    </row>
    <row r="1037" spans="1:7" ht="41.4">
      <c r="A1037" s="245">
        <v>270402</v>
      </c>
      <c r="B1037" s="239" t="s">
        <v>1605</v>
      </c>
      <c r="C1037" s="238" t="s">
        <v>15</v>
      </c>
      <c r="D1037" s="240">
        <v>490</v>
      </c>
      <c r="G1037" s="237"/>
    </row>
    <row r="1038" spans="1:7" ht="27.6">
      <c r="A1038" s="245">
        <v>270403</v>
      </c>
      <c r="B1038" s="239" t="s">
        <v>1606</v>
      </c>
      <c r="C1038" s="238" t="s">
        <v>15</v>
      </c>
      <c r="D1038" s="242">
        <v>-490</v>
      </c>
      <c r="G1038" s="237"/>
    </row>
    <row r="1039" spans="1:7" ht="27.6">
      <c r="A1039" s="245">
        <v>270404</v>
      </c>
      <c r="B1039" s="239" t="s">
        <v>1607</v>
      </c>
      <c r="C1039" s="238" t="s">
        <v>15</v>
      </c>
      <c r="D1039" s="240">
        <v>14200</v>
      </c>
      <c r="G1039" s="237"/>
    </row>
    <row r="1040" spans="1:7" ht="27.6">
      <c r="A1040" s="245">
        <v>270501</v>
      </c>
      <c r="B1040" s="239" t="s">
        <v>1608</v>
      </c>
      <c r="C1040" s="238" t="s">
        <v>15</v>
      </c>
      <c r="D1040" s="240">
        <v>92900</v>
      </c>
      <c r="G1040" s="237"/>
    </row>
    <row r="1041" spans="1:7">
      <c r="A1041" s="245">
        <v>270502</v>
      </c>
      <c r="B1041" s="239" t="s">
        <v>1609</v>
      </c>
      <c r="C1041" s="238" t="s">
        <v>15</v>
      </c>
      <c r="D1041" s="240">
        <v>27400</v>
      </c>
      <c r="G1041" s="237"/>
    </row>
    <row r="1042" spans="1:7">
      <c r="A1042" s="245">
        <v>270503</v>
      </c>
      <c r="B1042" s="239" t="s">
        <v>1610</v>
      </c>
      <c r="C1042" s="238" t="s">
        <v>618</v>
      </c>
      <c r="D1042" s="240">
        <v>10300</v>
      </c>
      <c r="G1042" s="237"/>
    </row>
    <row r="1043" spans="1:7" ht="27.6">
      <c r="A1043" s="245">
        <v>280101</v>
      </c>
      <c r="B1043" s="239" t="s">
        <v>1611</v>
      </c>
      <c r="C1043" s="238" t="s">
        <v>1612</v>
      </c>
      <c r="D1043" s="240">
        <v>1040</v>
      </c>
      <c r="G1043" s="237"/>
    </row>
    <row r="1044" spans="1:7" ht="27.6">
      <c r="A1044" s="245">
        <v>280102</v>
      </c>
      <c r="B1044" s="239" t="s">
        <v>1613</v>
      </c>
      <c r="C1044" s="238" t="s">
        <v>1612</v>
      </c>
      <c r="D1044" s="240">
        <v>700</v>
      </c>
      <c r="G1044" s="237"/>
    </row>
    <row r="1045" spans="1:7" ht="27.6">
      <c r="A1045" s="245">
        <v>280103</v>
      </c>
      <c r="B1045" s="239" t="s">
        <v>1614</v>
      </c>
      <c r="C1045" s="238" t="s">
        <v>1612</v>
      </c>
      <c r="D1045" s="240">
        <v>440</v>
      </c>
      <c r="G1045" s="237"/>
    </row>
    <row r="1046" spans="1:7" ht="27.6">
      <c r="A1046" s="245">
        <v>280104</v>
      </c>
      <c r="B1046" s="239" t="s">
        <v>1615</v>
      </c>
      <c r="C1046" s="238" t="s">
        <v>1612</v>
      </c>
      <c r="D1046" s="240">
        <v>365</v>
      </c>
      <c r="G1046" s="237"/>
    </row>
    <row r="1047" spans="1:7" ht="27.6">
      <c r="A1047" s="245">
        <v>280105</v>
      </c>
      <c r="B1047" s="239" t="s">
        <v>1616</v>
      </c>
      <c r="C1047" s="238" t="s">
        <v>1612</v>
      </c>
      <c r="D1047" s="240">
        <v>310</v>
      </c>
      <c r="G1047" s="237"/>
    </row>
    <row r="1048" spans="1:7">
      <c r="A1048" s="245">
        <v>280106</v>
      </c>
      <c r="B1048" s="239" t="s">
        <v>1617</v>
      </c>
      <c r="C1048" s="238" t="s">
        <v>1612</v>
      </c>
      <c r="D1048" s="240">
        <v>260</v>
      </c>
      <c r="G1048" s="237"/>
    </row>
    <row r="1049" spans="1:7" ht="27.6">
      <c r="A1049" s="245">
        <v>280201</v>
      </c>
      <c r="B1049" s="239" t="s">
        <v>1618</v>
      </c>
      <c r="C1049" s="238" t="s">
        <v>1612</v>
      </c>
      <c r="D1049" s="240">
        <v>1130</v>
      </c>
      <c r="G1049" s="237"/>
    </row>
    <row r="1050" spans="1:7" ht="27.6">
      <c r="A1050" s="245">
        <v>280202</v>
      </c>
      <c r="B1050" s="239" t="s">
        <v>1619</v>
      </c>
      <c r="C1050" s="238" t="s">
        <v>1612</v>
      </c>
      <c r="D1050" s="240">
        <v>765</v>
      </c>
      <c r="G1050" s="237"/>
    </row>
    <row r="1051" spans="1:7" ht="27.6">
      <c r="A1051" s="245">
        <v>280203</v>
      </c>
      <c r="B1051" s="239" t="s">
        <v>1620</v>
      </c>
      <c r="C1051" s="238" t="s">
        <v>1612</v>
      </c>
      <c r="D1051" s="240">
        <v>480</v>
      </c>
      <c r="G1051" s="237"/>
    </row>
    <row r="1052" spans="1:7" ht="27.6">
      <c r="A1052" s="245">
        <v>280204</v>
      </c>
      <c r="B1052" s="239" t="s">
        <v>1621</v>
      </c>
      <c r="C1052" s="238" t="s">
        <v>1612</v>
      </c>
      <c r="D1052" s="240">
        <v>395</v>
      </c>
      <c r="G1052" s="237"/>
    </row>
    <row r="1053" spans="1:7" ht="27.6">
      <c r="A1053" s="245">
        <v>280205</v>
      </c>
      <c r="B1053" s="239" t="s">
        <v>1622</v>
      </c>
      <c r="C1053" s="238" t="s">
        <v>1612</v>
      </c>
      <c r="D1053" s="240">
        <v>340</v>
      </c>
      <c r="G1053" s="237"/>
    </row>
    <row r="1054" spans="1:7">
      <c r="A1054" s="245">
        <v>280206</v>
      </c>
      <c r="B1054" s="239" t="s">
        <v>1623</v>
      </c>
      <c r="C1054" s="238" t="s">
        <v>1612</v>
      </c>
      <c r="D1054" s="240">
        <v>285</v>
      </c>
      <c r="G1054" s="237"/>
    </row>
    <row r="1055" spans="1:7">
      <c r="A1055" s="245">
        <v>280301</v>
      </c>
      <c r="B1055" s="239" t="s">
        <v>1624</v>
      </c>
      <c r="C1055" s="238" t="s">
        <v>1612</v>
      </c>
      <c r="D1055" s="240">
        <v>1860</v>
      </c>
      <c r="G1055" s="237"/>
    </row>
    <row r="1056" spans="1:7" ht="27.6">
      <c r="A1056" s="245">
        <v>280401</v>
      </c>
      <c r="B1056" s="239" t="s">
        <v>1625</v>
      </c>
      <c r="C1056" s="238" t="s">
        <v>1626</v>
      </c>
      <c r="D1056" s="240">
        <v>4600</v>
      </c>
      <c r="G1056" s="237"/>
    </row>
    <row r="1057" spans="1:7" ht="27.6">
      <c r="A1057" s="245">
        <v>280501</v>
      </c>
      <c r="B1057" s="239" t="s">
        <v>1627</v>
      </c>
      <c r="C1057" s="238" t="s">
        <v>1628</v>
      </c>
      <c r="D1057" s="240">
        <v>8100</v>
      </c>
      <c r="G1057" s="237"/>
    </row>
    <row r="1058" spans="1:7" ht="27.6">
      <c r="A1058" s="245">
        <v>280502</v>
      </c>
      <c r="B1058" s="239" t="s">
        <v>1629</v>
      </c>
      <c r="C1058" s="238" t="s">
        <v>1628</v>
      </c>
      <c r="D1058" s="240">
        <v>3750</v>
      </c>
      <c r="G1058" s="237"/>
    </row>
    <row r="1059" spans="1:7" ht="27.6">
      <c r="A1059" s="245">
        <v>280503</v>
      </c>
      <c r="B1059" s="239" t="s">
        <v>1630</v>
      </c>
      <c r="C1059" s="238" t="s">
        <v>1628</v>
      </c>
      <c r="D1059" s="240">
        <v>2750</v>
      </c>
      <c r="G1059" s="237"/>
    </row>
    <row r="1060" spans="1:7" ht="27.6">
      <c r="A1060" s="245">
        <v>280504</v>
      </c>
      <c r="B1060" s="239" t="s">
        <v>1631</v>
      </c>
      <c r="C1060" s="238" t="s">
        <v>1628</v>
      </c>
      <c r="D1060" s="240">
        <v>2400</v>
      </c>
      <c r="G1060" s="237"/>
    </row>
    <row r="1061" spans="1:7" ht="27.6">
      <c r="A1061" s="245">
        <v>280505</v>
      </c>
      <c r="B1061" s="239" t="s">
        <v>1632</v>
      </c>
      <c r="C1061" s="238" t="s">
        <v>1628</v>
      </c>
      <c r="D1061" s="240">
        <v>2200</v>
      </c>
      <c r="G1061" s="237"/>
    </row>
    <row r="1062" spans="1:7" ht="27.6">
      <c r="A1062" s="245">
        <v>290101</v>
      </c>
      <c r="B1062" s="239" t="s">
        <v>1633</v>
      </c>
      <c r="C1062" s="238" t="s">
        <v>158</v>
      </c>
      <c r="D1062" s="240">
        <v>8150</v>
      </c>
      <c r="G1062" s="237"/>
    </row>
    <row r="1063" spans="1:7" ht="27.6">
      <c r="A1063" s="245">
        <v>290201</v>
      </c>
      <c r="B1063" s="239" t="s">
        <v>1634</v>
      </c>
      <c r="C1063" s="238" t="s">
        <v>335</v>
      </c>
      <c r="D1063" s="240">
        <v>98200</v>
      </c>
      <c r="G1063" s="237"/>
    </row>
    <row r="1064" spans="1:7" ht="27.6">
      <c r="A1064" s="245">
        <v>290301</v>
      </c>
      <c r="B1064" s="239" t="s">
        <v>1635</v>
      </c>
      <c r="C1064" s="238" t="s">
        <v>15</v>
      </c>
      <c r="D1064" s="240">
        <v>2500</v>
      </c>
      <c r="G1064" s="237"/>
    </row>
    <row r="1065" spans="1:7" ht="27.6">
      <c r="A1065" s="245">
        <v>290401</v>
      </c>
      <c r="B1065" s="239" t="s">
        <v>1636</v>
      </c>
      <c r="C1065" s="238" t="s">
        <v>158</v>
      </c>
      <c r="D1065" s="240">
        <v>922</v>
      </c>
      <c r="G1065" s="237"/>
    </row>
    <row r="1066" spans="1:7">
      <c r="A1066" s="245">
        <v>410202</v>
      </c>
      <c r="B1066" s="239" t="s">
        <v>1637</v>
      </c>
      <c r="C1066" s="238" t="s">
        <v>158</v>
      </c>
      <c r="D1066" s="240">
        <v>264500</v>
      </c>
      <c r="G1066" s="237"/>
    </row>
    <row r="1067" spans="1:7">
      <c r="A1067" s="245">
        <v>410203</v>
      </c>
      <c r="B1067" s="239" t="s">
        <v>1638</v>
      </c>
      <c r="C1067" s="238" t="s">
        <v>158</v>
      </c>
      <c r="D1067" s="240">
        <v>177500</v>
      </c>
      <c r="G1067" s="237"/>
    </row>
    <row r="1068" spans="1:7">
      <c r="A1068" s="245">
        <v>410204</v>
      </c>
      <c r="B1068" s="239" t="s">
        <v>1639</v>
      </c>
      <c r="C1068" s="238" t="s">
        <v>158</v>
      </c>
      <c r="D1068" s="240">
        <v>133000</v>
      </c>
      <c r="G1068" s="237"/>
    </row>
    <row r="1069" spans="1:7">
      <c r="A1069" s="245">
        <v>410205</v>
      </c>
      <c r="B1069" s="239" t="s">
        <v>1640</v>
      </c>
      <c r="C1069" s="238" t="s">
        <v>158</v>
      </c>
      <c r="D1069" s="240">
        <v>150000</v>
      </c>
      <c r="G1069" s="237"/>
    </row>
    <row r="1070" spans="1:7">
      <c r="A1070" s="245">
        <v>410206</v>
      </c>
      <c r="B1070" s="239" t="s">
        <v>1641</v>
      </c>
      <c r="C1070" s="238" t="s">
        <v>158</v>
      </c>
      <c r="D1070" s="240">
        <v>196500</v>
      </c>
      <c r="G1070" s="237"/>
    </row>
    <row r="1071" spans="1:7">
      <c r="A1071" s="245">
        <v>410301</v>
      </c>
      <c r="B1071" s="239" t="s">
        <v>1642</v>
      </c>
      <c r="C1071" s="238" t="s">
        <v>158</v>
      </c>
      <c r="D1071" s="240">
        <v>270000</v>
      </c>
      <c r="G1071" s="237"/>
    </row>
    <row r="1072" spans="1:7">
      <c r="A1072" s="245">
        <v>410302</v>
      </c>
      <c r="B1072" s="239" t="s">
        <v>1643</v>
      </c>
      <c r="C1072" s="238" t="s">
        <v>158</v>
      </c>
      <c r="D1072" s="240">
        <v>304500</v>
      </c>
      <c r="G1072" s="237"/>
    </row>
    <row r="1073" spans="1:7">
      <c r="A1073" s="245">
        <v>410303</v>
      </c>
      <c r="B1073" s="239" t="s">
        <v>1644</v>
      </c>
      <c r="C1073" s="238" t="s">
        <v>158</v>
      </c>
      <c r="D1073" s="240">
        <v>304500</v>
      </c>
      <c r="G1073" s="237"/>
    </row>
    <row r="1074" spans="1:7">
      <c r="A1074" s="245">
        <v>410305</v>
      </c>
      <c r="B1074" s="239" t="s">
        <v>1645</v>
      </c>
      <c r="C1074" s="238" t="s">
        <v>158</v>
      </c>
      <c r="D1074" s="240">
        <v>292000</v>
      </c>
      <c r="G1074" s="237"/>
    </row>
    <row r="1075" spans="1:7">
      <c r="A1075" s="245">
        <v>410306</v>
      </c>
      <c r="B1075" s="239" t="s">
        <v>1646</v>
      </c>
      <c r="C1075" s="238" t="s">
        <v>15</v>
      </c>
      <c r="D1075" s="240">
        <v>165500</v>
      </c>
      <c r="G1075" s="237"/>
    </row>
    <row r="1076" spans="1:7">
      <c r="A1076" s="245">
        <v>410401</v>
      </c>
      <c r="B1076" s="239" t="s">
        <v>1647</v>
      </c>
      <c r="C1076" s="238" t="s">
        <v>15</v>
      </c>
      <c r="D1076" s="240">
        <v>859500</v>
      </c>
      <c r="G1076" s="237"/>
    </row>
    <row r="1077" spans="1:7">
      <c r="A1077" s="245">
        <v>410402</v>
      </c>
      <c r="B1077" s="239" t="s">
        <v>1648</v>
      </c>
      <c r="C1077" s="238" t="s">
        <v>15</v>
      </c>
      <c r="D1077" s="240">
        <v>566000</v>
      </c>
      <c r="G1077" s="237"/>
    </row>
    <row r="1078" spans="1:7">
      <c r="A1078" s="245">
        <v>410403</v>
      </c>
      <c r="B1078" s="239" t="s">
        <v>1649</v>
      </c>
      <c r="C1078" s="238" t="s">
        <v>15</v>
      </c>
      <c r="D1078" s="240">
        <v>259500</v>
      </c>
      <c r="G1078" s="237"/>
    </row>
    <row r="1079" spans="1:7">
      <c r="A1079" s="245">
        <v>410404</v>
      </c>
      <c r="B1079" s="239" t="s">
        <v>1650</v>
      </c>
      <c r="C1079" s="238" t="s">
        <v>15</v>
      </c>
      <c r="D1079" s="240">
        <v>509500</v>
      </c>
      <c r="G1079" s="237"/>
    </row>
    <row r="1080" spans="1:7">
      <c r="A1080" s="245">
        <v>410405</v>
      </c>
      <c r="B1080" s="239" t="s">
        <v>1651</v>
      </c>
      <c r="C1080" s="238" t="s">
        <v>15</v>
      </c>
      <c r="D1080" s="240">
        <v>349500</v>
      </c>
      <c r="G1080" s="237"/>
    </row>
    <row r="1081" spans="1:7">
      <c r="A1081" s="245">
        <v>410406</v>
      </c>
      <c r="B1081" s="239" t="s">
        <v>1652</v>
      </c>
      <c r="C1081" s="238" t="s">
        <v>15</v>
      </c>
      <c r="D1081" s="240">
        <v>442500</v>
      </c>
      <c r="G1081" s="237"/>
    </row>
    <row r="1082" spans="1:7">
      <c r="A1082" s="245">
        <v>410407</v>
      </c>
      <c r="B1082" s="239" t="s">
        <v>1653</v>
      </c>
      <c r="C1082" s="238" t="s">
        <v>159</v>
      </c>
      <c r="D1082" s="240">
        <v>900000</v>
      </c>
      <c r="G1082" s="237"/>
    </row>
    <row r="1083" spans="1:7">
      <c r="A1083" s="245">
        <v>410408</v>
      </c>
      <c r="B1083" s="239" t="s">
        <v>1654</v>
      </c>
      <c r="C1083" s="238" t="s">
        <v>242</v>
      </c>
      <c r="D1083" s="240">
        <v>85000</v>
      </c>
      <c r="G1083" s="237"/>
    </row>
    <row r="1084" spans="1:7">
      <c r="A1084" s="245">
        <v>410501</v>
      </c>
      <c r="B1084" s="239" t="s">
        <v>1655</v>
      </c>
      <c r="C1084" s="238" t="s">
        <v>159</v>
      </c>
      <c r="D1084" s="240">
        <v>1085000</v>
      </c>
      <c r="G1084" s="237"/>
    </row>
    <row r="1085" spans="1:7">
      <c r="A1085" s="245">
        <v>410502</v>
      </c>
      <c r="B1085" s="239" t="s">
        <v>1656</v>
      </c>
      <c r="C1085" s="238" t="s">
        <v>159</v>
      </c>
      <c r="D1085" s="240">
        <v>940500</v>
      </c>
      <c r="G1085" s="237"/>
    </row>
    <row r="1086" spans="1:7">
      <c r="A1086" s="245">
        <v>410508</v>
      </c>
      <c r="B1086" s="239" t="s">
        <v>1657</v>
      </c>
      <c r="C1086" s="238" t="s">
        <v>159</v>
      </c>
      <c r="D1086" s="240">
        <v>2054000</v>
      </c>
      <c r="G1086" s="237"/>
    </row>
    <row r="1087" spans="1:7">
      <c r="A1087" s="245">
        <v>410601</v>
      </c>
      <c r="B1087" s="239" t="s">
        <v>1658</v>
      </c>
      <c r="C1087" s="238" t="s">
        <v>159</v>
      </c>
      <c r="D1087" s="240">
        <v>654500</v>
      </c>
      <c r="G1087" s="237"/>
    </row>
    <row r="1088" spans="1:7">
      <c r="A1088" s="245">
        <v>410602</v>
      </c>
      <c r="B1088" s="239" t="s">
        <v>1659</v>
      </c>
      <c r="C1088" s="238" t="s">
        <v>159</v>
      </c>
      <c r="D1088" s="240">
        <v>480500</v>
      </c>
      <c r="G1088" s="237"/>
    </row>
    <row r="1089" spans="1:7">
      <c r="A1089" s="245">
        <v>410603</v>
      </c>
      <c r="B1089" s="239" t="s">
        <v>1660</v>
      </c>
      <c r="C1089" s="238" t="s">
        <v>159</v>
      </c>
      <c r="D1089" s="240">
        <v>495500</v>
      </c>
      <c r="G1089" s="237"/>
    </row>
    <row r="1090" spans="1:7">
      <c r="A1090" s="245">
        <v>410701</v>
      </c>
      <c r="B1090" s="239" t="s">
        <v>1661</v>
      </c>
      <c r="C1090" s="238" t="s">
        <v>160</v>
      </c>
      <c r="D1090" s="240">
        <v>1200</v>
      </c>
      <c r="G1090" s="237"/>
    </row>
    <row r="1091" spans="1:7">
      <c r="A1091" s="245">
        <v>410702</v>
      </c>
      <c r="B1091" s="239" t="s">
        <v>1662</v>
      </c>
      <c r="C1091" s="238" t="s">
        <v>160</v>
      </c>
      <c r="D1091" s="240">
        <v>1130</v>
      </c>
      <c r="G1091" s="237"/>
    </row>
    <row r="1092" spans="1:7">
      <c r="A1092" s="245">
        <v>410703</v>
      </c>
      <c r="B1092" s="239" t="s">
        <v>1663</v>
      </c>
      <c r="C1092" s="238" t="s">
        <v>160</v>
      </c>
      <c r="D1092" s="240">
        <v>2720</v>
      </c>
      <c r="G1092" s="237"/>
    </row>
    <row r="1093" spans="1:7">
      <c r="A1093" s="245">
        <v>410801</v>
      </c>
      <c r="B1093" s="239" t="s">
        <v>1664</v>
      </c>
      <c r="C1093" s="238" t="s">
        <v>160</v>
      </c>
      <c r="D1093" s="240">
        <v>2530</v>
      </c>
      <c r="G1093" s="237"/>
    </row>
    <row r="1094" spans="1:7">
      <c r="A1094" s="245">
        <v>410802</v>
      </c>
      <c r="B1094" s="239" t="s">
        <v>1665</v>
      </c>
      <c r="C1094" s="238" t="s">
        <v>160</v>
      </c>
      <c r="D1094" s="240">
        <v>11600</v>
      </c>
      <c r="G1094" s="237"/>
    </row>
    <row r="1095" spans="1:7">
      <c r="A1095" s="245">
        <v>410803</v>
      </c>
      <c r="B1095" s="239" t="s">
        <v>1666</v>
      </c>
      <c r="C1095" s="238" t="s">
        <v>160</v>
      </c>
      <c r="D1095" s="240">
        <v>9480</v>
      </c>
      <c r="G1095" s="237"/>
    </row>
    <row r="1096" spans="1:7">
      <c r="A1096" s="245">
        <v>410804</v>
      </c>
      <c r="B1096" s="239" t="s">
        <v>1667</v>
      </c>
      <c r="C1096" s="238" t="s">
        <v>160</v>
      </c>
      <c r="D1096" s="240">
        <v>8370</v>
      </c>
      <c r="G1096" s="237"/>
    </row>
    <row r="1097" spans="1:7">
      <c r="A1097" s="245">
        <v>410901</v>
      </c>
      <c r="B1097" s="239" t="s">
        <v>1668</v>
      </c>
      <c r="C1097" s="238" t="s">
        <v>335</v>
      </c>
      <c r="D1097" s="240">
        <v>16500</v>
      </c>
      <c r="G1097" s="237"/>
    </row>
    <row r="1098" spans="1:7">
      <c r="A1098" s="245">
        <v>410902</v>
      </c>
      <c r="B1098" s="239" t="s">
        <v>1669</v>
      </c>
      <c r="C1098" s="238" t="s">
        <v>335</v>
      </c>
      <c r="D1098" s="240">
        <v>23500</v>
      </c>
      <c r="G1098" s="237"/>
    </row>
    <row r="1099" spans="1:7">
      <c r="A1099" s="245">
        <v>410903</v>
      </c>
      <c r="B1099" s="239" t="s">
        <v>1670</v>
      </c>
      <c r="C1099" s="238" t="s">
        <v>335</v>
      </c>
      <c r="D1099" s="240">
        <v>15300</v>
      </c>
      <c r="G1099" s="237"/>
    </row>
    <row r="1100" spans="1:7">
      <c r="A1100" s="245">
        <v>410904</v>
      </c>
      <c r="B1100" s="239" t="s">
        <v>1671</v>
      </c>
      <c r="C1100" s="238" t="s">
        <v>335</v>
      </c>
      <c r="D1100" s="240">
        <v>12900</v>
      </c>
      <c r="G1100" s="237"/>
    </row>
    <row r="1101" spans="1:7">
      <c r="A1101" s="245">
        <v>410905</v>
      </c>
      <c r="B1101" s="239" t="s">
        <v>1672</v>
      </c>
      <c r="C1101" s="238" t="s">
        <v>335</v>
      </c>
      <c r="D1101" s="240">
        <v>15300</v>
      </c>
      <c r="G1101" s="237"/>
    </row>
    <row r="1102" spans="1:7">
      <c r="A1102" s="245">
        <v>410906</v>
      </c>
      <c r="B1102" s="239" t="s">
        <v>1673</v>
      </c>
      <c r="C1102" s="238" t="s">
        <v>335</v>
      </c>
      <c r="D1102" s="240">
        <v>13500</v>
      </c>
      <c r="G1102" s="237"/>
    </row>
    <row r="1103" spans="1:7">
      <c r="A1103" s="245">
        <v>410907</v>
      </c>
      <c r="B1103" s="239" t="s">
        <v>1674</v>
      </c>
      <c r="C1103" s="238" t="s">
        <v>335</v>
      </c>
      <c r="D1103" s="240">
        <v>13900</v>
      </c>
      <c r="G1103" s="237"/>
    </row>
    <row r="1104" spans="1:7">
      <c r="A1104" s="245">
        <v>410908</v>
      </c>
      <c r="B1104" s="239" t="s">
        <v>1675</v>
      </c>
      <c r="C1104" s="238" t="s">
        <v>335</v>
      </c>
      <c r="D1104" s="240">
        <v>13900</v>
      </c>
      <c r="G1104" s="237"/>
    </row>
    <row r="1105" spans="1:7">
      <c r="A1105" s="245">
        <v>411001</v>
      </c>
      <c r="B1105" s="239" t="s">
        <v>1676</v>
      </c>
      <c r="C1105" s="238" t="s">
        <v>335</v>
      </c>
      <c r="D1105" s="240">
        <v>14800</v>
      </c>
      <c r="G1105" s="237"/>
    </row>
    <row r="1106" spans="1:7">
      <c r="A1106" s="245">
        <v>411002</v>
      </c>
      <c r="B1106" s="239" t="s">
        <v>1677</v>
      </c>
      <c r="C1106" s="238" t="s">
        <v>335</v>
      </c>
      <c r="D1106" s="240">
        <v>11500</v>
      </c>
      <c r="G1106" s="237"/>
    </row>
    <row r="1107" spans="1:7">
      <c r="A1107" s="245">
        <v>411003</v>
      </c>
      <c r="B1107" s="239" t="s">
        <v>1678</v>
      </c>
      <c r="C1107" s="238" t="s">
        <v>335</v>
      </c>
      <c r="D1107" s="240">
        <v>19300</v>
      </c>
      <c r="G1107" s="237"/>
    </row>
    <row r="1108" spans="1:7">
      <c r="A1108" s="245">
        <v>411004</v>
      </c>
      <c r="B1108" s="239" t="s">
        <v>1679</v>
      </c>
      <c r="C1108" s="238" t="s">
        <v>335</v>
      </c>
      <c r="D1108" s="240">
        <v>36800</v>
      </c>
      <c r="G1108" s="237"/>
    </row>
    <row r="1109" spans="1:7">
      <c r="A1109" s="245">
        <v>411101</v>
      </c>
      <c r="B1109" s="239" t="s">
        <v>1680</v>
      </c>
      <c r="C1109" s="238" t="s">
        <v>335</v>
      </c>
      <c r="D1109" s="240">
        <v>16900</v>
      </c>
      <c r="G1109" s="237"/>
    </row>
    <row r="1110" spans="1:7">
      <c r="A1110" s="245">
        <v>411202</v>
      </c>
      <c r="B1110" s="239" t="s">
        <v>1681</v>
      </c>
      <c r="C1110" s="238" t="s">
        <v>335</v>
      </c>
      <c r="D1110" s="240">
        <v>22800</v>
      </c>
      <c r="G1110" s="237"/>
    </row>
    <row r="1111" spans="1:7">
      <c r="A1111" s="245">
        <v>411303</v>
      </c>
      <c r="B1111" s="239" t="s">
        <v>1682</v>
      </c>
      <c r="C1111" s="238" t="s">
        <v>335</v>
      </c>
      <c r="D1111" s="240">
        <v>25100</v>
      </c>
      <c r="G1111" s="237"/>
    </row>
    <row r="1112" spans="1:7">
      <c r="A1112" s="245">
        <v>411304</v>
      </c>
      <c r="B1112" s="239" t="s">
        <v>1683</v>
      </c>
      <c r="C1112" s="238" t="s">
        <v>15</v>
      </c>
      <c r="D1112" s="240">
        <v>24200</v>
      </c>
      <c r="G1112" s="237"/>
    </row>
    <row r="1113" spans="1:7">
      <c r="A1113" s="245">
        <v>411405</v>
      </c>
      <c r="B1113" s="239" t="s">
        <v>1684</v>
      </c>
      <c r="C1113" s="238" t="s">
        <v>335</v>
      </c>
      <c r="D1113" s="240">
        <v>88600</v>
      </c>
      <c r="G1113" s="237"/>
    </row>
    <row r="1114" spans="1:7">
      <c r="A1114" s="245">
        <v>411406</v>
      </c>
      <c r="B1114" s="239" t="s">
        <v>1685</v>
      </c>
      <c r="C1114" s="238" t="s">
        <v>335</v>
      </c>
      <c r="D1114" s="240">
        <v>87200</v>
      </c>
      <c r="G1114" s="237"/>
    </row>
    <row r="1115" spans="1:7">
      <c r="A1115" s="245">
        <v>411407</v>
      </c>
      <c r="B1115" s="239" t="s">
        <v>1686</v>
      </c>
      <c r="C1115" s="238" t="s">
        <v>335</v>
      </c>
      <c r="D1115" s="240">
        <v>110500</v>
      </c>
      <c r="G1115" s="237"/>
    </row>
    <row r="1116" spans="1:7">
      <c r="A1116" s="245">
        <v>411501</v>
      </c>
      <c r="B1116" s="239" t="s">
        <v>1687</v>
      </c>
      <c r="C1116" s="238" t="s">
        <v>335</v>
      </c>
      <c r="D1116" s="240">
        <v>8330</v>
      </c>
      <c r="G1116" s="237"/>
    </row>
    <row r="1117" spans="1:7">
      <c r="A1117" s="245">
        <v>411502</v>
      </c>
      <c r="B1117" s="239" t="s">
        <v>1688</v>
      </c>
      <c r="C1117" s="238" t="s">
        <v>335</v>
      </c>
      <c r="D1117" s="240">
        <v>6280</v>
      </c>
      <c r="G1117" s="237"/>
    </row>
    <row r="1118" spans="1:7">
      <c r="A1118" s="245">
        <v>411601</v>
      </c>
      <c r="B1118" s="239" t="s">
        <v>1689</v>
      </c>
      <c r="C1118" s="238" t="s">
        <v>15</v>
      </c>
      <c r="D1118" s="240">
        <v>73000</v>
      </c>
      <c r="G1118" s="237"/>
    </row>
    <row r="1119" spans="1:7">
      <c r="A1119" s="245">
        <v>411602</v>
      </c>
      <c r="B1119" s="239" t="s">
        <v>1690</v>
      </c>
      <c r="C1119" s="238" t="s">
        <v>15</v>
      </c>
      <c r="D1119" s="240">
        <v>96800</v>
      </c>
      <c r="G1119" s="237"/>
    </row>
    <row r="1120" spans="1:7">
      <c r="A1120" s="245">
        <v>411603</v>
      </c>
      <c r="B1120" s="239" t="s">
        <v>1691</v>
      </c>
      <c r="C1120" s="238" t="s">
        <v>15</v>
      </c>
      <c r="D1120" s="240">
        <v>105000</v>
      </c>
      <c r="G1120" s="237"/>
    </row>
    <row r="1121" spans="1:7">
      <c r="A1121" s="245">
        <v>411701</v>
      </c>
      <c r="B1121" s="239" t="s">
        <v>1692</v>
      </c>
      <c r="C1121" s="238" t="s">
        <v>15</v>
      </c>
      <c r="D1121" s="240">
        <v>57800</v>
      </c>
      <c r="G1121" s="237"/>
    </row>
    <row r="1122" spans="1:7">
      <c r="A1122" s="245">
        <v>411801</v>
      </c>
      <c r="B1122" s="239" t="s">
        <v>1693</v>
      </c>
      <c r="C1122" s="238" t="s">
        <v>15</v>
      </c>
      <c r="D1122" s="240">
        <v>121500</v>
      </c>
      <c r="G1122" s="237"/>
    </row>
    <row r="1123" spans="1:7">
      <c r="A1123" s="245">
        <v>411802</v>
      </c>
      <c r="B1123" s="239" t="s">
        <v>1694</v>
      </c>
      <c r="C1123" s="238" t="s">
        <v>15</v>
      </c>
      <c r="D1123" s="240">
        <v>118000</v>
      </c>
      <c r="G1123" s="237"/>
    </row>
    <row r="1124" spans="1:7">
      <c r="A1124" s="245">
        <v>411901</v>
      </c>
      <c r="B1124" s="239" t="s">
        <v>1695</v>
      </c>
      <c r="C1124" s="238" t="s">
        <v>158</v>
      </c>
      <c r="D1124" s="240">
        <v>12603000</v>
      </c>
      <c r="G1124" s="237"/>
    </row>
    <row r="1125" spans="1:7">
      <c r="A1125" s="245">
        <v>411902</v>
      </c>
      <c r="B1125" s="239" t="s">
        <v>1696</v>
      </c>
      <c r="C1125" s="238" t="s">
        <v>158</v>
      </c>
      <c r="D1125" s="240">
        <v>12103000</v>
      </c>
      <c r="G1125" s="237"/>
    </row>
    <row r="1126" spans="1:7">
      <c r="A1126" s="245">
        <v>412001</v>
      </c>
      <c r="B1126" s="239" t="s">
        <v>1697</v>
      </c>
      <c r="C1126" s="238" t="s">
        <v>158</v>
      </c>
      <c r="D1126" s="240">
        <v>8153000</v>
      </c>
      <c r="G1126" s="237"/>
    </row>
    <row r="1127" spans="1:7">
      <c r="A1127" s="245">
        <v>412002</v>
      </c>
      <c r="B1127" s="239" t="s">
        <v>1698</v>
      </c>
      <c r="C1127" s="238" t="s">
        <v>158</v>
      </c>
      <c r="D1127" s="240">
        <v>6753000</v>
      </c>
      <c r="G1127" s="237"/>
    </row>
    <row r="1128" spans="1:7">
      <c r="A1128" s="245">
        <v>412101</v>
      </c>
      <c r="B1128" s="239" t="s">
        <v>1699</v>
      </c>
      <c r="C1128" s="238" t="s">
        <v>158</v>
      </c>
      <c r="D1128" s="240">
        <v>11103000</v>
      </c>
      <c r="G1128" s="237"/>
    </row>
    <row r="1129" spans="1:7">
      <c r="A1129" s="245">
        <v>412201</v>
      </c>
      <c r="B1129" s="239" t="s">
        <v>1700</v>
      </c>
      <c r="C1129" s="238" t="s">
        <v>158</v>
      </c>
      <c r="D1129" s="240">
        <v>5780000</v>
      </c>
      <c r="G1129" s="237"/>
    </row>
    <row r="1130" spans="1:7">
      <c r="A1130" s="245">
        <v>412301</v>
      </c>
      <c r="B1130" s="239" t="s">
        <v>1701</v>
      </c>
      <c r="C1130" s="238" t="s">
        <v>158</v>
      </c>
      <c r="D1130" s="240">
        <v>37853000</v>
      </c>
      <c r="G1130" s="237"/>
    </row>
    <row r="1131" spans="1:7">
      <c r="A1131" s="245">
        <v>412401</v>
      </c>
      <c r="B1131" s="239" t="s">
        <v>1702</v>
      </c>
      <c r="C1131" s="238" t="s">
        <v>335</v>
      </c>
      <c r="D1131" s="240">
        <v>5230</v>
      </c>
      <c r="G1131" s="237"/>
    </row>
    <row r="1132" spans="1:7">
      <c r="A1132" s="245">
        <v>412501</v>
      </c>
      <c r="B1132" s="239" t="s">
        <v>1703</v>
      </c>
      <c r="C1132" s="238" t="s">
        <v>15</v>
      </c>
      <c r="D1132" s="240">
        <v>203500</v>
      </c>
      <c r="G1132" s="237"/>
    </row>
    <row r="1133" spans="1:7">
      <c r="A1133" s="245">
        <v>412502</v>
      </c>
      <c r="B1133" s="239" t="s">
        <v>1704</v>
      </c>
      <c r="C1133" s="238" t="s">
        <v>242</v>
      </c>
      <c r="D1133" s="240">
        <v>159500</v>
      </c>
      <c r="G1133" s="237"/>
    </row>
    <row r="1134" spans="1:7">
      <c r="A1134" s="245">
        <v>412601</v>
      </c>
      <c r="B1134" s="239" t="s">
        <v>1705</v>
      </c>
      <c r="C1134" s="238" t="s">
        <v>15</v>
      </c>
      <c r="D1134" s="240">
        <v>193500</v>
      </c>
      <c r="G1134" s="237"/>
    </row>
    <row r="1135" spans="1:7">
      <c r="A1135" s="245">
        <v>412701</v>
      </c>
      <c r="B1135" s="239" t="s">
        <v>1706</v>
      </c>
      <c r="C1135" s="238" t="s">
        <v>15</v>
      </c>
      <c r="D1135" s="240">
        <v>252500</v>
      </c>
      <c r="G1135" s="237"/>
    </row>
    <row r="1136" spans="1:7">
      <c r="A1136" s="245">
        <v>412801</v>
      </c>
      <c r="B1136" s="239" t="s">
        <v>1707</v>
      </c>
      <c r="C1136" s="238" t="s">
        <v>158</v>
      </c>
      <c r="D1136" s="240">
        <v>186000</v>
      </c>
      <c r="G1136" s="237"/>
    </row>
    <row r="1137" spans="1:7">
      <c r="A1137" s="245">
        <v>412901</v>
      </c>
      <c r="B1137" s="239" t="s">
        <v>1708</v>
      </c>
      <c r="C1137" s="238" t="s">
        <v>15</v>
      </c>
      <c r="D1137" s="240">
        <v>15300</v>
      </c>
      <c r="G1137" s="237"/>
    </row>
    <row r="1138" spans="1:7">
      <c r="A1138" s="245">
        <v>413001</v>
      </c>
      <c r="B1138" s="239" t="s">
        <v>1709</v>
      </c>
      <c r="C1138" s="238" t="s">
        <v>15</v>
      </c>
      <c r="D1138" s="240">
        <v>57000</v>
      </c>
      <c r="G1138" s="237"/>
    </row>
    <row r="1139" spans="1:7">
      <c r="A1139" s="245">
        <v>413002</v>
      </c>
      <c r="B1139" s="239" t="s">
        <v>1710</v>
      </c>
      <c r="C1139" s="238" t="s">
        <v>15</v>
      </c>
      <c r="D1139" s="240">
        <v>91100</v>
      </c>
      <c r="G1139" s="237"/>
    </row>
    <row r="1140" spans="1:7">
      <c r="A1140" s="245">
        <v>413003</v>
      </c>
      <c r="B1140" s="239" t="s">
        <v>1711</v>
      </c>
      <c r="C1140" s="238" t="s">
        <v>15</v>
      </c>
      <c r="D1140" s="240">
        <v>164000</v>
      </c>
      <c r="G1140" s="237"/>
    </row>
    <row r="1141" spans="1:7">
      <c r="A1141" s="245">
        <v>413101</v>
      </c>
      <c r="B1141" s="239" t="s">
        <v>1712</v>
      </c>
      <c r="C1141" s="238" t="s">
        <v>335</v>
      </c>
      <c r="D1141" s="240">
        <v>99300</v>
      </c>
      <c r="G1141" s="237"/>
    </row>
    <row r="1142" spans="1:7">
      <c r="A1142" s="245">
        <v>413102</v>
      </c>
      <c r="B1142" s="239" t="s">
        <v>1713</v>
      </c>
      <c r="C1142" s="238" t="s">
        <v>335</v>
      </c>
      <c r="D1142" s="240">
        <v>60300</v>
      </c>
      <c r="G1142" s="237"/>
    </row>
    <row r="1143" spans="1:7">
      <c r="A1143" s="245">
        <v>420101</v>
      </c>
      <c r="B1143" s="239" t="s">
        <v>1714</v>
      </c>
      <c r="C1143" s="238" t="s">
        <v>1715</v>
      </c>
      <c r="D1143" s="240">
        <v>0</v>
      </c>
      <c r="G1143" s="237"/>
    </row>
    <row r="1144" spans="1:7">
      <c r="A1144" s="245">
        <v>420102</v>
      </c>
      <c r="B1144" s="239" t="s">
        <v>1716</v>
      </c>
      <c r="C1144" s="238" t="s">
        <v>1715</v>
      </c>
      <c r="D1144" s="240">
        <v>0</v>
      </c>
      <c r="G1144" s="237"/>
    </row>
    <row r="1145" spans="1:7">
      <c r="A1145" s="245">
        <v>420103</v>
      </c>
      <c r="B1145" s="239" t="s">
        <v>1717</v>
      </c>
      <c r="C1145" s="238" t="s">
        <v>1715</v>
      </c>
      <c r="D1145" s="240">
        <v>0</v>
      </c>
      <c r="G1145" s="237"/>
    </row>
    <row r="1146" spans="1:7">
      <c r="A1146" s="245">
        <v>420201</v>
      </c>
      <c r="B1146" s="239" t="s">
        <v>1718</v>
      </c>
      <c r="C1146" s="238" t="s">
        <v>1715</v>
      </c>
      <c r="D1146" s="240">
        <v>0</v>
      </c>
      <c r="G1146" s="237"/>
    </row>
    <row r="1147" spans="1:7">
      <c r="A1147" s="245">
        <v>420202</v>
      </c>
      <c r="B1147" s="239" t="s">
        <v>1719</v>
      </c>
      <c r="C1147" s="238" t="s">
        <v>1715</v>
      </c>
      <c r="D1147" s="240">
        <v>0</v>
      </c>
      <c r="G1147" s="237"/>
    </row>
    <row r="1148" spans="1:7" ht="27.6">
      <c r="A1148" s="245">
        <v>420301</v>
      </c>
      <c r="B1148" s="239" t="s">
        <v>1720</v>
      </c>
      <c r="C1148" s="238" t="s">
        <v>1715</v>
      </c>
      <c r="D1148" s="240">
        <v>0</v>
      </c>
      <c r="G1148" s="237"/>
    </row>
    <row r="1149" spans="1:7" ht="27.6">
      <c r="A1149" s="245">
        <v>420302</v>
      </c>
      <c r="B1149" s="239" t="s">
        <v>1721</v>
      </c>
      <c r="C1149" s="238" t="s">
        <v>1715</v>
      </c>
      <c r="D1149" s="240">
        <v>0</v>
      </c>
      <c r="G1149" s="237"/>
    </row>
    <row r="1150" spans="1:7" ht="27.6">
      <c r="A1150" s="245">
        <v>420303</v>
      </c>
      <c r="B1150" s="239" t="s">
        <v>1722</v>
      </c>
      <c r="C1150" s="238" t="s">
        <v>1715</v>
      </c>
      <c r="D1150" s="240">
        <v>0</v>
      </c>
      <c r="G1150" s="237"/>
    </row>
    <row r="1151" spans="1:7" ht="27.6">
      <c r="A1151" s="245">
        <v>420304</v>
      </c>
      <c r="B1151" s="239" t="s">
        <v>1723</v>
      </c>
      <c r="C1151" s="238" t="s">
        <v>1715</v>
      </c>
      <c r="D1151" s="240">
        <v>0</v>
      </c>
      <c r="G1151" s="237"/>
    </row>
    <row r="1152" spans="1:7" ht="27.6">
      <c r="A1152" s="245">
        <v>420305</v>
      </c>
      <c r="B1152" s="239" t="s">
        <v>1724</v>
      </c>
      <c r="C1152" s="238" t="s">
        <v>1715</v>
      </c>
      <c r="D1152" s="240">
        <v>0</v>
      </c>
      <c r="G1152" s="237"/>
    </row>
    <row r="1153" spans="1:7" ht="27.6">
      <c r="A1153" s="245">
        <v>420306</v>
      </c>
      <c r="B1153" s="239" t="s">
        <v>1725</v>
      </c>
      <c r="C1153" s="238" t="s">
        <v>1715</v>
      </c>
      <c r="D1153" s="240">
        <v>0</v>
      </c>
      <c r="G1153" s="237"/>
    </row>
    <row r="1154" spans="1:7" ht="27.6">
      <c r="A1154" s="245">
        <v>420401</v>
      </c>
      <c r="B1154" s="239" t="s">
        <v>1726</v>
      </c>
      <c r="C1154" s="238" t="s">
        <v>1715</v>
      </c>
      <c r="D1154" s="240">
        <v>0</v>
      </c>
      <c r="G1154" s="237"/>
    </row>
    <row r="1155" spans="1:7">
      <c r="A1155" s="245">
        <v>420402</v>
      </c>
      <c r="B1155" s="239" t="s">
        <v>1727</v>
      </c>
      <c r="C1155" s="238" t="s">
        <v>1715</v>
      </c>
      <c r="D1155" s="240">
        <v>0</v>
      </c>
      <c r="G1155" s="237"/>
    </row>
    <row r="1156" spans="1:7" ht="27.6">
      <c r="A1156" s="245">
        <v>420403</v>
      </c>
      <c r="B1156" s="239" t="s">
        <v>1728</v>
      </c>
      <c r="C1156" s="238" t="s">
        <v>1715</v>
      </c>
      <c r="D1156" s="240">
        <v>0</v>
      </c>
      <c r="G1156" s="237"/>
    </row>
    <row r="1157" spans="1:7">
      <c r="A1157" s="245">
        <v>420404</v>
      </c>
      <c r="B1157" s="239" t="s">
        <v>1729</v>
      </c>
      <c r="C1157" s="238" t="s">
        <v>1715</v>
      </c>
      <c r="D1157" s="240">
        <v>0</v>
      </c>
      <c r="G1157" s="237"/>
    </row>
    <row r="1158" spans="1:7">
      <c r="A1158" s="245">
        <v>420501</v>
      </c>
      <c r="B1158" s="239" t="s">
        <v>1730</v>
      </c>
      <c r="C1158" s="238" t="s">
        <v>1715</v>
      </c>
      <c r="D1158" s="240">
        <v>0</v>
      </c>
      <c r="G1158" s="237"/>
    </row>
    <row r="1159" spans="1:7">
      <c r="A1159" s="245">
        <v>420601</v>
      </c>
      <c r="B1159" s="239" t="s">
        <v>1731</v>
      </c>
      <c r="C1159" s="238" t="s">
        <v>1715</v>
      </c>
      <c r="D1159" s="240">
        <v>0</v>
      </c>
      <c r="G1159" s="237"/>
    </row>
    <row r="1160" spans="1:7">
      <c r="A1160" s="245">
        <v>420602</v>
      </c>
      <c r="B1160" s="239" t="s">
        <v>1732</v>
      </c>
      <c r="C1160" s="238" t="s">
        <v>1715</v>
      </c>
      <c r="D1160" s="240">
        <v>0</v>
      </c>
      <c r="G1160" s="237"/>
    </row>
    <row r="1161" spans="1:7">
      <c r="A1161" s="245">
        <v>420603</v>
      </c>
      <c r="B1161" s="239" t="s">
        <v>1733</v>
      </c>
      <c r="C1161" s="238" t="s">
        <v>1715</v>
      </c>
      <c r="D1161" s="240">
        <v>0</v>
      </c>
      <c r="G1161" s="237"/>
    </row>
    <row r="1162" spans="1:7">
      <c r="A1162" s="245">
        <v>420604</v>
      </c>
      <c r="B1162" s="239" t="s">
        <v>1734</v>
      </c>
      <c r="C1162" s="238" t="s">
        <v>1715</v>
      </c>
      <c r="D1162" s="240">
        <v>0</v>
      </c>
      <c r="G1162" s="237"/>
    </row>
    <row r="1163" spans="1:7">
      <c r="A1163" s="245">
        <v>420605</v>
      </c>
      <c r="B1163" s="239" t="s">
        <v>1735</v>
      </c>
      <c r="C1163" s="238" t="s">
        <v>1715</v>
      </c>
      <c r="D1163" s="240">
        <v>0</v>
      </c>
      <c r="G1163" s="237"/>
    </row>
    <row r="1164" spans="1:7">
      <c r="A1164" s="245">
        <v>420701</v>
      </c>
      <c r="B1164" s="239" t="s">
        <v>1736</v>
      </c>
      <c r="C1164" s="238" t="s">
        <v>1715</v>
      </c>
      <c r="D1164" s="240">
        <v>0</v>
      </c>
      <c r="G1164" s="237"/>
    </row>
    <row r="1165" spans="1:7">
      <c r="A1165" s="245">
        <v>420702</v>
      </c>
      <c r="B1165" s="239" t="s">
        <v>1737</v>
      </c>
      <c r="C1165" s="238" t="s">
        <v>1715</v>
      </c>
      <c r="D1165" s="240">
        <v>0</v>
      </c>
      <c r="G1165" s="237"/>
    </row>
    <row r="1166" spans="1:7">
      <c r="A1166" s="245">
        <v>420703</v>
      </c>
      <c r="B1166" s="239" t="s">
        <v>1738</v>
      </c>
      <c r="C1166" s="238" t="s">
        <v>1715</v>
      </c>
      <c r="D1166" s="240">
        <v>0</v>
      </c>
      <c r="G1166" s="237"/>
    </row>
    <row r="1167" spans="1:7">
      <c r="A1167" s="245">
        <v>420801</v>
      </c>
      <c r="B1167" s="239" t="s">
        <v>1739</v>
      </c>
      <c r="C1167" s="238" t="s">
        <v>1715</v>
      </c>
      <c r="D1167" s="240">
        <v>0</v>
      </c>
      <c r="G1167" s="237"/>
    </row>
    <row r="1168" spans="1:7" ht="27.6">
      <c r="A1168" s="245">
        <v>420901</v>
      </c>
      <c r="B1168" s="239" t="s">
        <v>1740</v>
      </c>
      <c r="C1168" s="238" t="s">
        <v>1715</v>
      </c>
      <c r="D1168" s="240">
        <v>0</v>
      </c>
      <c r="G1168" s="237"/>
    </row>
    <row r="1169" spans="1:7" ht="27.6">
      <c r="A1169" s="245">
        <v>420902</v>
      </c>
      <c r="B1169" s="239" t="s">
        <v>1741</v>
      </c>
      <c r="C1169" s="238" t="s">
        <v>1715</v>
      </c>
      <c r="D1169" s="240">
        <v>0</v>
      </c>
      <c r="G1169" s="237"/>
    </row>
    <row r="1170" spans="1:7">
      <c r="A1170" s="245">
        <v>420903</v>
      </c>
      <c r="B1170" s="239" t="s">
        <v>1742</v>
      </c>
      <c r="C1170" s="238" t="s">
        <v>1715</v>
      </c>
      <c r="D1170" s="240">
        <v>0</v>
      </c>
      <c r="G1170" s="237"/>
    </row>
    <row r="1171" spans="1:7" ht="27.6">
      <c r="A1171" s="245">
        <v>421001</v>
      </c>
      <c r="B1171" s="239" t="s">
        <v>1743</v>
      </c>
      <c r="C1171" s="238" t="s">
        <v>1715</v>
      </c>
      <c r="D1171" s="240">
        <v>0</v>
      </c>
      <c r="G1171" s="237"/>
    </row>
    <row r="1172" spans="1:7" ht="27.6">
      <c r="A1172" s="245">
        <v>421002</v>
      </c>
      <c r="B1172" s="239" t="s">
        <v>1744</v>
      </c>
      <c r="C1172" s="238" t="s">
        <v>1715</v>
      </c>
      <c r="D1172" s="240">
        <v>0</v>
      </c>
      <c r="G1172" s="237"/>
    </row>
    <row r="1173" spans="1:7" ht="27.6">
      <c r="A1173" s="245">
        <v>421003</v>
      </c>
      <c r="B1173" s="239" t="s">
        <v>1745</v>
      </c>
      <c r="C1173" s="238" t="s">
        <v>1715</v>
      </c>
      <c r="D1173" s="240">
        <v>0</v>
      </c>
      <c r="G1173" s="237"/>
    </row>
    <row r="1174" spans="1:7" ht="27.6">
      <c r="A1174" s="245">
        <v>421004</v>
      </c>
      <c r="B1174" s="239" t="s">
        <v>1746</v>
      </c>
      <c r="C1174" s="238" t="s">
        <v>1715</v>
      </c>
      <c r="D1174" s="240">
        <v>0</v>
      </c>
      <c r="G1174" s="237"/>
    </row>
    <row r="1175" spans="1:7">
      <c r="A1175" s="245">
        <v>421005</v>
      </c>
      <c r="B1175" s="239" t="s">
        <v>1747</v>
      </c>
      <c r="C1175" s="238" t="s">
        <v>1715</v>
      </c>
      <c r="D1175" s="240">
        <v>0</v>
      </c>
      <c r="G1175" s="237"/>
    </row>
    <row r="1176" spans="1:7" ht="27.6">
      <c r="A1176" s="245">
        <v>421006</v>
      </c>
      <c r="B1176" s="239" t="s">
        <v>1748</v>
      </c>
      <c r="C1176" s="238" t="s">
        <v>1715</v>
      </c>
      <c r="D1176" s="240">
        <v>0</v>
      </c>
      <c r="G1176" s="237"/>
    </row>
    <row r="1177" spans="1:7" ht="27.6">
      <c r="A1177" s="245">
        <v>421007</v>
      </c>
      <c r="B1177" s="239" t="s">
        <v>1749</v>
      </c>
      <c r="C1177" s="238" t="s">
        <v>1715</v>
      </c>
      <c r="D1177" s="240">
        <v>0</v>
      </c>
      <c r="G1177" s="237"/>
    </row>
    <row r="1178" spans="1:7" ht="41.4">
      <c r="A1178" s="245">
        <v>421101</v>
      </c>
      <c r="B1178" s="239" t="s">
        <v>1750</v>
      </c>
      <c r="C1178" s="238" t="s">
        <v>1715</v>
      </c>
      <c r="D1178" s="240">
        <v>0</v>
      </c>
      <c r="G1178" s="237"/>
    </row>
    <row r="1179" spans="1:7" ht="41.4">
      <c r="A1179" s="245">
        <v>421102</v>
      </c>
      <c r="B1179" s="239" t="s">
        <v>1751</v>
      </c>
      <c r="C1179" s="238" t="s">
        <v>1715</v>
      </c>
      <c r="D1179" s="240">
        <v>0</v>
      </c>
      <c r="G1179" s="237"/>
    </row>
    <row r="1180" spans="1:7" ht="41.4">
      <c r="A1180" s="245">
        <v>421103</v>
      </c>
      <c r="B1180" s="239" t="s">
        <v>1752</v>
      </c>
      <c r="C1180" s="238" t="s">
        <v>1715</v>
      </c>
      <c r="D1180" s="240">
        <v>0</v>
      </c>
      <c r="G1180" s="237"/>
    </row>
    <row r="1181" spans="1:7" ht="27.6">
      <c r="A1181" s="245">
        <v>421104</v>
      </c>
      <c r="B1181" s="239" t="s">
        <v>1753</v>
      </c>
      <c r="C1181" s="238" t="s">
        <v>1715</v>
      </c>
      <c r="D1181" s="240">
        <v>0</v>
      </c>
      <c r="G1181" s="237"/>
    </row>
    <row r="1182" spans="1:7">
      <c r="A1182" s="245">
        <v>421201</v>
      </c>
      <c r="B1182" s="239" t="s">
        <v>1754</v>
      </c>
      <c r="C1182" s="238" t="s">
        <v>1715</v>
      </c>
      <c r="D1182" s="240">
        <v>0</v>
      </c>
      <c r="G1182" s="237"/>
    </row>
    <row r="1183" spans="1:7">
      <c r="A1183" s="245">
        <v>421301</v>
      </c>
      <c r="B1183" s="239" t="s">
        <v>1755</v>
      </c>
      <c r="C1183" s="238" t="s">
        <v>1715</v>
      </c>
      <c r="D1183" s="240">
        <v>0</v>
      </c>
      <c r="G1183" s="237"/>
    </row>
    <row r="1184" spans="1:7">
      <c r="A1184" s="245">
        <v>421302</v>
      </c>
      <c r="B1184" s="239" t="s">
        <v>1756</v>
      </c>
      <c r="C1184" s="238" t="s">
        <v>1715</v>
      </c>
      <c r="D1184" s="240">
        <v>0</v>
      </c>
      <c r="G1184" s="2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اطلاعات</vt:lpstr>
      <vt:lpstr>جلد </vt:lpstr>
      <vt:lpstr> خلاصه مالي </vt:lpstr>
      <vt:lpstr> خلاصه مالي فهارس </vt:lpstr>
      <vt:lpstr>مالي ابنیه</vt:lpstr>
      <vt:lpstr>فصول ابنیه</vt:lpstr>
      <vt:lpstr>خلاصه متره </vt:lpstr>
      <vt:lpstr>ريزمتره ابینه</vt:lpstr>
      <vt:lpstr>ابنیه 95</vt:lpstr>
      <vt:lpstr>مالي مکانیکی</vt:lpstr>
      <vt:lpstr>فصول مکانیکی</vt:lpstr>
      <vt:lpstr>خلاصه مکانیکی</vt:lpstr>
      <vt:lpstr>ریزمتره مکانیکی</vt:lpstr>
      <vt:lpstr>مکانیکی 95</vt:lpstr>
      <vt:lpstr>' خلاصه مالي '!Print_Area</vt:lpstr>
      <vt:lpstr>' خلاصه مالي فهارس '!Print_Area</vt:lpstr>
      <vt:lpstr>'جلد '!Print_Area</vt:lpstr>
      <vt:lpstr>'خلاصه متره '!Print_Area</vt:lpstr>
      <vt:lpstr>'خلاصه مکانیکی'!Print_Area</vt:lpstr>
      <vt:lpstr>'ريزمتره ابینه'!Print_Area</vt:lpstr>
      <vt:lpstr>'ریزمتره مکانیکی'!Print_Area</vt:lpstr>
      <vt:lpstr>'فصول مکانیکی'!Print_Area</vt:lpstr>
      <vt:lpstr>'مالي ابنیه'!Print_Area</vt:lpstr>
      <vt:lpstr>'مالي مکانیکی'!Print_Area</vt:lpstr>
      <vt:lpstr>'خلاصه متره '!Print_Titles</vt:lpstr>
      <vt:lpstr>'خلاصه مکانیکی'!Print_Titles</vt:lpstr>
      <vt:lpstr>'ريزمتره ابینه'!Print_Titles</vt:lpstr>
      <vt:lpstr>'ریزمتره مکانیکی'!Print_Titles</vt:lpstr>
      <vt:lpstr>'فصول ابنیه'!Print_Titles</vt:lpstr>
      <vt:lpstr>'فصول مکانیکی'!Print_Titles</vt:lpstr>
      <vt:lpstr>'مالي ابنیه'!Print_Titles</vt:lpstr>
      <vt:lpstr>'مالي مکانیکی'!Print_Titles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 yol</dc:creator>
  <cp:lastModifiedBy>Emdad Rayaneh</cp:lastModifiedBy>
  <cp:lastPrinted>2017-12-23T15:42:11Z</cp:lastPrinted>
  <dcterms:created xsi:type="dcterms:W3CDTF">2003-08-14T22:59:35Z</dcterms:created>
  <dcterms:modified xsi:type="dcterms:W3CDTF">2020-10-12T20:15:13Z</dcterms:modified>
</cp:coreProperties>
</file>