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99\دفترفنی چی\چک لیست ها\"/>
    </mc:Choice>
  </mc:AlternateContent>
  <bookViews>
    <workbookView xWindow="0" yWindow="0" windowWidth="23040" windowHeight="9192" tabRatio="920"/>
  </bookViews>
  <sheets>
    <sheet name="ابنیه-1" sheetId="1" r:id="rId1"/>
    <sheet name="ابنیه-2" sheetId="3" r:id="rId2"/>
    <sheet name="ابنیه-3" sheetId="4" r:id="rId3"/>
    <sheet name="ابنیه-4" sheetId="5" r:id="rId4"/>
    <sheet name="ابنیه-5" sheetId="6" r:id="rId5"/>
    <sheet name="ابنیه-6" sheetId="7" r:id="rId6"/>
    <sheet name="خلاصه" sheetId="8" r:id="rId7"/>
    <sheet name="Sheet1" sheetId="2" r:id="rId8"/>
  </sheets>
  <calcPr calcId="162913"/>
</workbook>
</file>

<file path=xl/calcChain.xml><?xml version="1.0" encoding="utf-8"?>
<calcChain xmlns="http://schemas.openxmlformats.org/spreadsheetml/2006/main">
  <c r="J4" i="8" l="1"/>
  <c r="G9" i="8" l="1"/>
  <c r="K25" i="8" l="1"/>
  <c r="K24" i="8"/>
  <c r="Q24" i="8" s="1"/>
  <c r="K23" i="8"/>
  <c r="Q23" i="8" s="1"/>
  <c r="K22" i="8"/>
  <c r="Q22" i="8" s="1"/>
  <c r="K9" i="8"/>
  <c r="K5" i="8"/>
  <c r="K18" i="8" l="1"/>
  <c r="K20" i="8" l="1"/>
  <c r="K4" i="8" l="1"/>
  <c r="K10" i="8"/>
  <c r="J25" i="8" l="1"/>
  <c r="Q25" i="8" s="1"/>
  <c r="J11" i="8" l="1"/>
  <c r="J7" i="8"/>
  <c r="J6" i="8"/>
  <c r="J5" i="8"/>
  <c r="J19" i="8" l="1"/>
  <c r="J20" i="8" l="1"/>
  <c r="Q20" i="8" s="1"/>
  <c r="Q19" i="8"/>
  <c r="F26" i="1"/>
  <c r="F25" i="1"/>
  <c r="J21" i="8" l="1"/>
  <c r="Q21" i="8" s="1"/>
  <c r="J10" i="8"/>
  <c r="I9" i="8" l="1"/>
  <c r="I6" i="8"/>
  <c r="I5" i="8"/>
  <c r="H9" i="8"/>
  <c r="H6" i="8"/>
  <c r="H7" i="8"/>
  <c r="H11" i="8"/>
  <c r="G10" i="8"/>
  <c r="G6" i="8"/>
  <c r="G5" i="8"/>
  <c r="F15" i="8"/>
  <c r="Q15" i="8" s="1"/>
  <c r="F6" i="8"/>
  <c r="E7" i="8"/>
  <c r="E8" i="8"/>
  <c r="Q7" i="8"/>
  <c r="D8" i="8"/>
  <c r="Q8" i="8" s="1"/>
  <c r="Q9" i="8" l="1"/>
  <c r="F14" i="1"/>
  <c r="F15" i="1"/>
  <c r="F16" i="1"/>
  <c r="F17" i="1"/>
  <c r="F18" i="1"/>
  <c r="D4" i="8" l="1"/>
  <c r="F31" i="7"/>
  <c r="I18" i="8" s="1"/>
  <c r="Q18" i="8" s="1"/>
  <c r="F27" i="7"/>
  <c r="F26" i="7"/>
  <c r="F29" i="7"/>
  <c r="F28" i="7"/>
  <c r="F25" i="7"/>
  <c r="F24" i="7"/>
  <c r="F23" i="7"/>
  <c r="F22" i="7"/>
  <c r="F21" i="7"/>
  <c r="F20" i="7"/>
  <c r="F19" i="7"/>
  <c r="F18" i="7"/>
  <c r="F17" i="7"/>
  <c r="F16" i="7"/>
  <c r="I4" i="8" l="1"/>
  <c r="F37" i="6"/>
  <c r="H17" i="8" s="1"/>
  <c r="Q17" i="8" s="1"/>
  <c r="F24" i="6" l="1"/>
  <c r="F31" i="6" l="1"/>
  <c r="F30" i="6"/>
  <c r="AQ15" i="2" l="1"/>
  <c r="AP15" i="2"/>
  <c r="F27" i="5" l="1"/>
  <c r="G16" i="8" s="1"/>
  <c r="Q16" i="8" s="1"/>
  <c r="F23" i="5"/>
  <c r="F22" i="5"/>
  <c r="F21" i="5"/>
  <c r="F20" i="5"/>
  <c r="F19" i="5"/>
  <c r="F18" i="5"/>
  <c r="F17" i="5"/>
  <c r="F16" i="5"/>
  <c r="F15" i="5"/>
  <c r="F14" i="5"/>
  <c r="G4" i="8" l="1"/>
  <c r="F29" i="6"/>
  <c r="F28" i="6"/>
  <c r="F27" i="6"/>
  <c r="F26" i="6"/>
  <c r="F25" i="6" l="1"/>
  <c r="F23" i="6" l="1"/>
  <c r="F22" i="6"/>
  <c r="F21" i="6" l="1"/>
  <c r="F20" i="6"/>
  <c r="F16" i="6"/>
  <c r="F36" i="6"/>
  <c r="F19" i="6"/>
  <c r="F15" i="6"/>
  <c r="H4" i="8" l="1"/>
  <c r="H5" i="8"/>
  <c r="H12" i="8"/>
  <c r="F20" i="4" l="1"/>
  <c r="F34" i="3"/>
  <c r="F24" i="4" l="1"/>
  <c r="F4" i="8" l="1"/>
  <c r="AO10" i="2"/>
  <c r="AO11" i="2"/>
  <c r="AO12" i="2"/>
  <c r="AO13" i="2"/>
  <c r="AO14" i="2"/>
  <c r="AO9" i="2"/>
  <c r="AO5" i="2"/>
  <c r="AO6" i="2"/>
  <c r="AO7" i="2"/>
  <c r="AO8" i="2"/>
  <c r="AO4" i="2"/>
  <c r="F21" i="4" l="1"/>
  <c r="F19" i="4"/>
  <c r="F18" i="4"/>
  <c r="F11" i="8" l="1"/>
  <c r="F12" i="8"/>
  <c r="F23" i="3"/>
  <c r="F36" i="3"/>
  <c r="F35" i="3"/>
  <c r="F26" i="3"/>
  <c r="F25" i="3"/>
  <c r="F24" i="3"/>
  <c r="F29" i="3"/>
  <c r="F33" i="3"/>
  <c r="F28" i="3"/>
  <c r="F27" i="3"/>
  <c r="F30" i="3"/>
  <c r="F22" i="3"/>
  <c r="F20" i="3"/>
  <c r="F21" i="3"/>
  <c r="E6" i="8" l="1"/>
  <c r="Q6" i="8" s="1"/>
  <c r="E10" i="8"/>
  <c r="E4" i="8"/>
  <c r="Q4" i="8" s="1"/>
  <c r="E11" i="8"/>
  <c r="E5" i="8"/>
  <c r="F19" i="3" l="1"/>
  <c r="F18" i="3" l="1"/>
  <c r="F17" i="3"/>
  <c r="F16" i="3"/>
  <c r="F15" i="3" l="1"/>
  <c r="F14" i="3"/>
  <c r="E14" i="8" l="1"/>
  <c r="F36" i="1"/>
  <c r="F35" i="1"/>
  <c r="F34" i="1"/>
  <c r="F33" i="1"/>
  <c r="F32" i="1"/>
  <c r="D14" i="8" l="1"/>
  <c r="Q14" i="8"/>
  <c r="F31" i="1"/>
  <c r="F30" i="1"/>
  <c r="F29" i="1"/>
  <c r="D11" i="8" l="1"/>
  <c r="Q11" i="8" s="1"/>
  <c r="F28" i="1"/>
  <c r="F27" i="1"/>
  <c r="F24" i="1"/>
  <c r="F23" i="1"/>
  <c r="F22" i="1"/>
  <c r="D10" i="8" l="1"/>
  <c r="Q10" i="8" s="1"/>
  <c r="D13" i="8"/>
  <c r="Q13" i="8" s="1"/>
  <c r="D12" i="8"/>
  <c r="Q12" i="8" s="1"/>
  <c r="F21" i="1"/>
  <c r="F20" i="1"/>
  <c r="F19" i="1"/>
  <c r="D5" i="8" l="1"/>
  <c r="Q5" i="8" s="1"/>
</calcChain>
</file>

<file path=xl/sharedStrings.xml><?xml version="1.0" encoding="utf-8"?>
<sst xmlns="http://schemas.openxmlformats.org/spreadsheetml/2006/main" count="554" uniqueCount="206">
  <si>
    <t xml:space="preserve">پیوست : </t>
  </si>
  <si>
    <t xml:space="preserve">نوع مصالح </t>
  </si>
  <si>
    <t>مقدار</t>
  </si>
  <si>
    <t xml:space="preserve">واحد </t>
  </si>
  <si>
    <t xml:space="preserve">تاریخ ورود </t>
  </si>
  <si>
    <t>توضیحات:</t>
  </si>
  <si>
    <t>ردیف</t>
  </si>
  <si>
    <t>تاریخ صورتجلسه :</t>
  </si>
  <si>
    <t>عدد</t>
  </si>
  <si>
    <t>شرح سند</t>
  </si>
  <si>
    <t>شماره صورتجلسه</t>
  </si>
  <si>
    <t>نوع و مقدار مصالح</t>
  </si>
  <si>
    <t>آجر فشاری</t>
  </si>
  <si>
    <t>سنگ لاشه</t>
  </si>
  <si>
    <t>سنگ قلوه</t>
  </si>
  <si>
    <t>میلگرد</t>
  </si>
  <si>
    <t>قوطی</t>
  </si>
  <si>
    <t>ماسه شسته</t>
  </si>
  <si>
    <t>شن نخودی</t>
  </si>
  <si>
    <t>شن بادامی</t>
  </si>
  <si>
    <t>انکر مکانیکی</t>
  </si>
  <si>
    <t>تاریخ صورتجلسه</t>
  </si>
  <si>
    <t>تن</t>
  </si>
  <si>
    <t>کیلوگرم</t>
  </si>
  <si>
    <t>سیمان سفید 25ک</t>
  </si>
  <si>
    <t>سیمان 50ک</t>
  </si>
  <si>
    <t>پودر سنگ 30ک</t>
  </si>
  <si>
    <t>نبشی نمره 5</t>
  </si>
  <si>
    <t>انواع ورق سیاه</t>
  </si>
  <si>
    <t>برگ باسکول</t>
  </si>
  <si>
    <t>فاکتور</t>
  </si>
  <si>
    <t>سیمان پرتلند پاکتی</t>
  </si>
  <si>
    <t>سیمان سفید پاکتی</t>
  </si>
  <si>
    <t>گچ پاکتی</t>
  </si>
  <si>
    <t>انواع نبشی (نبشی نمره 5)</t>
  </si>
  <si>
    <t>برگ فروش</t>
  </si>
  <si>
    <t>مصالح زیراساس از مصالح رودخانه ای</t>
  </si>
  <si>
    <t>شماره :</t>
  </si>
  <si>
    <t>نوع مصالح :</t>
  </si>
  <si>
    <t xml:space="preserve"> موضوع : مصالح وارد شده به کارگاه</t>
  </si>
  <si>
    <t>بارنامه، حواله خروج انبار و ...</t>
  </si>
  <si>
    <t>مترمکعب</t>
  </si>
  <si>
    <t>باسکول</t>
  </si>
  <si>
    <t>95/1/30</t>
  </si>
  <si>
    <t>بارنامه و باسکول</t>
  </si>
  <si>
    <t>95/2/1</t>
  </si>
  <si>
    <t>مخلوط</t>
  </si>
  <si>
    <t>95/2/2</t>
  </si>
  <si>
    <t>95/2/4</t>
  </si>
  <si>
    <t>نظارت مقیم :</t>
  </si>
  <si>
    <t>مامور خــرید :</t>
  </si>
  <si>
    <t>انبــاردار :</t>
  </si>
  <si>
    <t>رئیس کارگاه :</t>
  </si>
  <si>
    <t>انکر مکانیکی گالوانیزه</t>
  </si>
  <si>
    <t>95/2/8</t>
  </si>
  <si>
    <t>95/2/6</t>
  </si>
  <si>
    <t>قالب</t>
  </si>
  <si>
    <t>بلوک سیمانی به ضخامت 12/5 سانتیمتر</t>
  </si>
  <si>
    <t>95/2/12</t>
  </si>
  <si>
    <t>بلوک سیمانی به ضخامت 20 سانتیمتر</t>
  </si>
  <si>
    <t>95/2/18</t>
  </si>
  <si>
    <t>95/2/9</t>
  </si>
  <si>
    <t>95/2/10</t>
  </si>
  <si>
    <t>95/2/17</t>
  </si>
  <si>
    <t>95/2/19</t>
  </si>
  <si>
    <t>95/2/23</t>
  </si>
  <si>
    <t>95/2/16</t>
  </si>
  <si>
    <t>95/2/24</t>
  </si>
  <si>
    <t>برگ فروش کارخانه</t>
  </si>
  <si>
    <r>
      <t xml:space="preserve">27140  </t>
    </r>
    <r>
      <rPr>
        <b/>
        <sz val="8"/>
        <rFont val="B Nazanin"/>
        <charset val="178"/>
      </rPr>
      <t>kg</t>
    </r>
    <r>
      <rPr>
        <b/>
        <sz val="10"/>
        <rFont val="B Nazanin"/>
        <charset val="178"/>
      </rPr>
      <t xml:space="preserve"> / 2 </t>
    </r>
    <r>
      <rPr>
        <b/>
        <sz val="8"/>
        <rFont val="B Nazanin"/>
        <charset val="178"/>
      </rPr>
      <t>kg</t>
    </r>
    <r>
      <rPr>
        <b/>
        <sz val="10"/>
        <rFont val="B Nazanin"/>
        <charset val="178"/>
      </rPr>
      <t xml:space="preserve"> = 13570</t>
    </r>
  </si>
  <si>
    <t>95/2/27</t>
  </si>
  <si>
    <t>بارنامه - برگ فروش</t>
  </si>
  <si>
    <t>بلوک 12/5 لیکا</t>
  </si>
  <si>
    <t>بلوک 20 لیکا</t>
  </si>
  <si>
    <t>95/2/28</t>
  </si>
  <si>
    <t>فروردین ماه 95</t>
  </si>
  <si>
    <t>اردیبهشت ماه 95</t>
  </si>
  <si>
    <t>95/3/5</t>
  </si>
  <si>
    <t>95/4/1</t>
  </si>
  <si>
    <t>95/4/2</t>
  </si>
  <si>
    <t>95/4/3</t>
  </si>
  <si>
    <t>95/4/5</t>
  </si>
  <si>
    <t>95/4/7</t>
  </si>
  <si>
    <t>95/4/8</t>
  </si>
  <si>
    <t>95/4/9</t>
  </si>
  <si>
    <t>95/4/12</t>
  </si>
  <si>
    <t>میلگرد نمره 12</t>
  </si>
  <si>
    <t>95/4/13</t>
  </si>
  <si>
    <t>95/4/14</t>
  </si>
  <si>
    <t>95/4/16</t>
  </si>
  <si>
    <t>95/4/21</t>
  </si>
  <si>
    <t>95/4/22</t>
  </si>
  <si>
    <t>95/4/24</t>
  </si>
  <si>
    <t>95/03/3</t>
  </si>
  <si>
    <t>95/03/4</t>
  </si>
  <si>
    <t>95/03/9</t>
  </si>
  <si>
    <t>95/03/18</t>
  </si>
  <si>
    <t>95/03/21</t>
  </si>
  <si>
    <t>95/03/23</t>
  </si>
  <si>
    <t>95/03/24</t>
  </si>
  <si>
    <t>95/03/26</t>
  </si>
  <si>
    <t>95/03/31</t>
  </si>
  <si>
    <t xml:space="preserve">آجر سوراخ دار </t>
  </si>
  <si>
    <t>توری گالوانیزه</t>
  </si>
  <si>
    <t>سیمان پاکتی تیپ 2</t>
  </si>
  <si>
    <t>بارنامه، برگ فروش کارخانه</t>
  </si>
  <si>
    <t>95/3/26</t>
  </si>
  <si>
    <t>95/3/23</t>
  </si>
  <si>
    <t>آجر ماشینی</t>
  </si>
  <si>
    <t>تورمرغی</t>
  </si>
  <si>
    <t>95/4/27</t>
  </si>
  <si>
    <t>95/4/31</t>
  </si>
  <si>
    <t>95/4/28</t>
  </si>
  <si>
    <t>95/4/29</t>
  </si>
  <si>
    <t>آجر سوراخ دار</t>
  </si>
  <si>
    <t>95/04/26</t>
  </si>
  <si>
    <t>95/05/04</t>
  </si>
  <si>
    <t>95/05/18</t>
  </si>
  <si>
    <t xml:space="preserve">حواله خروج انبار </t>
  </si>
  <si>
    <t>95/05/23</t>
  </si>
  <si>
    <t>95/05/27</t>
  </si>
  <si>
    <t>95/05/31</t>
  </si>
  <si>
    <t>95/05/19</t>
  </si>
  <si>
    <t>برگ فروش، بارنامه</t>
  </si>
  <si>
    <t>95/05/26</t>
  </si>
  <si>
    <t>95/05/02</t>
  </si>
  <si>
    <t>95/05/03</t>
  </si>
  <si>
    <t>95/05/05</t>
  </si>
  <si>
    <t>95/05/06</t>
  </si>
  <si>
    <t>95/05/10</t>
  </si>
  <si>
    <t>95/05/13</t>
  </si>
  <si>
    <t>95/05/16</t>
  </si>
  <si>
    <t>95/05/21</t>
  </si>
  <si>
    <t>95/05/25</t>
  </si>
  <si>
    <t>ماسه بادی</t>
  </si>
  <si>
    <t>ماسه</t>
  </si>
  <si>
    <t>سیمان</t>
  </si>
  <si>
    <t>اسفند 94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</si>
  <si>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</si>
  <si>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</si>
  <si>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</si>
  <si>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</si>
  <si>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</si>
  <si>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</si>
  <si>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</si>
  <si>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آبان</t>
  </si>
  <si>
    <t>آذر</t>
  </si>
  <si>
    <t xml:space="preserve">دی </t>
  </si>
  <si>
    <t>بهمن</t>
  </si>
  <si>
    <t>اسفند</t>
  </si>
  <si>
    <t>واحد</t>
  </si>
  <si>
    <t>مقدار / ماه</t>
  </si>
  <si>
    <t>جمع کل</t>
  </si>
  <si>
    <t>بلوک لیکا 12.5</t>
  </si>
  <si>
    <t>بلوک لیکا 20</t>
  </si>
  <si>
    <t>نبشی 5</t>
  </si>
  <si>
    <t>انواع ورق</t>
  </si>
  <si>
    <t>گچ</t>
  </si>
  <si>
    <t>سیمان سفید</t>
  </si>
  <si>
    <t>خلاصه گزارش مصالح وارده به کارگاه( سال 95)</t>
  </si>
  <si>
    <t>زیر اساس</t>
  </si>
  <si>
    <t>رول بولت</t>
  </si>
  <si>
    <t>توری مرغی</t>
  </si>
  <si>
    <t>پوکه معدنی</t>
  </si>
  <si>
    <t>مترمربع</t>
  </si>
  <si>
    <t>پروفیل نمره 2×30×60</t>
  </si>
  <si>
    <t>سرامیک 60*120</t>
  </si>
  <si>
    <t>قیر 70-60</t>
  </si>
  <si>
    <t>پروفیل نمره 4×40×60</t>
  </si>
  <si>
    <t>پروفیل نمره 2×50×50</t>
  </si>
  <si>
    <t>قلوه سنگ</t>
  </si>
  <si>
    <t xml:space="preserve"> پروژه :</t>
  </si>
  <si>
    <t xml:space="preserve">کارفرما : </t>
  </si>
  <si>
    <t>پیمانکار :</t>
  </si>
  <si>
    <t xml:space="preserve"> شماره قرارداد : </t>
  </si>
  <si>
    <t xml:space="preserve"> پروژه : </t>
  </si>
  <si>
    <t xml:space="preserve">پیمانکار : </t>
  </si>
  <si>
    <t xml:space="preserve">پیمانکار :  </t>
  </si>
  <si>
    <r>
      <t xml:space="preserve">صورتجلسه مصالح و تجهیزات وارده </t>
    </r>
    <r>
      <rPr>
        <b/>
        <sz val="10"/>
        <color theme="1"/>
        <rFont val="B Nazanin"/>
        <charset val="178"/>
      </rPr>
      <t>( مرداد 95)</t>
    </r>
  </si>
  <si>
    <r>
      <t xml:space="preserve">   بدینوسیله امضاء کنندگان ذیل گواهی می نمایند ، مصالح مشروح ذیل درمورخه </t>
    </r>
    <r>
      <rPr>
        <b/>
        <u/>
        <sz val="11"/>
        <rFont val="B Nazanin"/>
        <charset val="178"/>
      </rPr>
      <t xml:space="preserve">1395/05/1 لغایت 1395/05/31 </t>
    </r>
    <r>
      <rPr>
        <sz val="11"/>
        <rFont val="B Nazanin"/>
        <charset val="178"/>
      </rPr>
      <t xml:space="preserve"> </t>
    </r>
    <r>
      <rPr>
        <sz val="13"/>
        <rFont val="B Nazanin"/>
        <charset val="178"/>
      </rPr>
      <t xml:space="preserve">جهت انجــام عملیات موضوع پیمان به کارگاه ................... وارد و تخلیه گردیده است. </t>
    </r>
  </si>
  <si>
    <r>
      <t xml:space="preserve">   بدینوسیله امضاء کنندگان ذیل گواهی می نمایند ، مصالح مشروح ذیل درمورخه </t>
    </r>
    <r>
      <rPr>
        <b/>
        <u/>
        <sz val="11"/>
        <rFont val="B Nazanin"/>
        <charset val="178"/>
      </rPr>
      <t xml:space="preserve">1394/12/1 لغایت 1395/1/31 </t>
    </r>
    <r>
      <rPr>
        <sz val="11"/>
        <rFont val="B Nazanin"/>
        <charset val="178"/>
      </rPr>
      <t xml:space="preserve"> </t>
    </r>
    <r>
      <rPr>
        <sz val="13"/>
        <rFont val="B Nazanin"/>
        <charset val="178"/>
      </rPr>
      <t xml:space="preserve">جهت انجــام عملیات موضوع پیمان به کارگاه ............... وارد و تخلیه گردیده است. </t>
    </r>
  </si>
  <si>
    <r>
      <t xml:space="preserve">صورتجلسه مصالح و تجهیزات وارده </t>
    </r>
    <r>
      <rPr>
        <b/>
        <sz val="10"/>
        <color theme="1"/>
        <rFont val="B Nazanin"/>
        <charset val="178"/>
      </rPr>
      <t>( اردیبهشت 95)</t>
    </r>
  </si>
  <si>
    <r>
      <t xml:space="preserve">صورتجلسه مصالح و تجهیزات وارده </t>
    </r>
    <r>
      <rPr>
        <b/>
        <sz val="10"/>
        <color theme="1"/>
        <rFont val="B Nazanin"/>
        <charset val="178"/>
      </rPr>
      <t>( فروردین و اردیبهشت 95)</t>
    </r>
  </si>
  <si>
    <r>
      <t xml:space="preserve">   بدینوسیله امضاء کنندگان ذیل گواهی می نمایند ، مصالح مشروح ذیل درمورخه </t>
    </r>
    <r>
      <rPr>
        <b/>
        <u/>
        <sz val="11"/>
        <rFont val="B Nazanin"/>
        <charset val="178"/>
      </rPr>
      <t>1395/1/30</t>
    </r>
    <r>
      <rPr>
        <sz val="13"/>
        <rFont val="B Nazanin"/>
        <charset val="178"/>
      </rPr>
      <t xml:space="preserve"> و  </t>
    </r>
    <r>
      <rPr>
        <b/>
        <u/>
        <sz val="11"/>
        <rFont val="B Nazanin"/>
        <charset val="178"/>
      </rPr>
      <t xml:space="preserve">1395/02/26 لغایت 1395/02/31 </t>
    </r>
    <r>
      <rPr>
        <sz val="11"/>
        <rFont val="B Nazanin"/>
        <charset val="178"/>
      </rPr>
      <t xml:space="preserve"> </t>
    </r>
    <r>
      <rPr>
        <sz val="13"/>
        <rFont val="B Nazanin"/>
        <charset val="178"/>
      </rPr>
      <t xml:space="preserve">جهت انجــام عملیات موضوع پیمان به کارگاه ب................................................. وارد و تخلیه گردیده است. </t>
    </r>
  </si>
  <si>
    <r>
      <t xml:space="preserve">صورتجلسه مصالح و تجهیزات وارده </t>
    </r>
    <r>
      <rPr>
        <b/>
        <sz val="10"/>
        <color theme="1"/>
        <rFont val="B Nazanin"/>
        <charset val="178"/>
      </rPr>
      <t>( خرداد 95)</t>
    </r>
  </si>
  <si>
    <r>
      <t xml:space="preserve">   بدینوسیله امضاء کنندگان ذیل گواهی می نمایند ، مصالح مشروح ذیل درمورخه  </t>
    </r>
    <r>
      <rPr>
        <b/>
        <u/>
        <sz val="11"/>
        <rFont val="B Nazanin"/>
        <charset val="178"/>
      </rPr>
      <t xml:space="preserve">1395/03/01 لغایت 1395/03/31 </t>
    </r>
    <r>
      <rPr>
        <sz val="11"/>
        <rFont val="B Nazanin"/>
        <charset val="178"/>
      </rPr>
      <t xml:space="preserve"> </t>
    </r>
    <r>
      <rPr>
        <sz val="13"/>
        <rFont val="B Nazanin"/>
        <charset val="178"/>
      </rPr>
      <t xml:space="preserve">جهت انجــام عملیات موضوع پیمان به کارگاه ............................. وارد و تخلیه گردیده است. </t>
    </r>
  </si>
  <si>
    <r>
      <t xml:space="preserve">صورتجلسه مصالح و تجهیزات وارده </t>
    </r>
    <r>
      <rPr>
        <b/>
        <sz val="10"/>
        <color theme="1"/>
        <rFont val="B Nazanin"/>
        <charset val="178"/>
      </rPr>
      <t>( تــیر 95)</t>
    </r>
  </si>
  <si>
    <r>
      <t xml:space="preserve">   بدینوسیله امضاء کنندگان ذیل گواهی می نمایند ، مصالح مشروح ذیل درمورخه </t>
    </r>
    <r>
      <rPr>
        <b/>
        <u/>
        <sz val="11"/>
        <rFont val="B Nazanin"/>
        <charset val="178"/>
      </rPr>
      <t xml:space="preserve">1395/04/1 لغایت 1395/04/31 </t>
    </r>
    <r>
      <rPr>
        <sz val="11"/>
        <rFont val="B Nazanin"/>
        <charset val="178"/>
      </rPr>
      <t xml:space="preserve"> </t>
    </r>
    <r>
      <rPr>
        <sz val="13"/>
        <rFont val="B Nazanin"/>
        <charset val="178"/>
      </rPr>
      <t xml:space="preserve">جهت انجــام عملیات موضوع پیمان به کارگاه .......................... وارد و تخلیه گردیده است. </t>
    </r>
  </si>
  <si>
    <t xml:space="preserve">صورتجلسه مصالح و تجهیزات وارده </t>
  </si>
  <si>
    <t xml:space="preserve"> پروژه : ساختمان مرکزی همیار مترور</t>
  </si>
  <si>
    <t>کارفرما: همیار مترور</t>
  </si>
  <si>
    <t>پیمانکار: نمونه</t>
  </si>
  <si>
    <t xml:space="preserve"> شماره قرارداد: 99ج47347-ر</t>
  </si>
  <si>
    <t>1399/01/01</t>
  </si>
  <si>
    <t>مصالح سنگی</t>
  </si>
  <si>
    <t>دارد.</t>
  </si>
  <si>
    <t>پیوست:</t>
  </si>
  <si>
    <t>نوع مصالح:</t>
  </si>
  <si>
    <t>شماره:</t>
  </si>
  <si>
    <t>تاریخ صورتجلسه:</t>
  </si>
  <si>
    <t xml:space="preserve"> موضوع: مصالح وارد شده به کارگاه</t>
  </si>
  <si>
    <r>
      <t xml:space="preserve">   بدینوسیله امضاء کنندگان ذیل گواهی می نمایند ، مصالح مشروح ذیل درمورخ 1399/01/01</t>
    </r>
    <r>
      <rPr>
        <sz val="11"/>
        <rFont val="B Nazanin"/>
        <charset val="178"/>
      </rPr>
      <t xml:space="preserve"> </t>
    </r>
    <r>
      <rPr>
        <sz val="13"/>
        <rFont val="B Nazanin"/>
        <charset val="178"/>
      </rPr>
      <t xml:space="preserve">جهت انجــام عملیات موضوع پیمان به کارگاه ...... وارد و تخلیه گردیده است. </t>
    </r>
  </si>
  <si>
    <t>تنی</t>
  </si>
  <si>
    <t xml:space="preserve"> بارنامه</t>
  </si>
  <si>
    <t>شمارش</t>
  </si>
  <si>
    <t xml:space="preserve">پیمانکار: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</si>
</sst>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"/>
    <numFmt numFmtId="166" formatCode="#,##0.0"/>
  </numFmts>
  <fonts count="24">
    <font>
      <sz val="11"/>
      <color theme="1"/>
      <name val="Calibri"/>
      <family val="2"/>
      <charset val="178"/>
      <scheme val="minor"/>
    </font>
    <font>
      <sz val="12"/>
      <name val="B Mitra"/>
      <charset val="178"/>
    </font>
    <font>
      <b/>
      <sz val="10"/>
      <name val="B Mitra"/>
      <charset val="178"/>
    </font>
    <font>
      <sz val="12"/>
      <color theme="1"/>
      <name val="B Mitra"/>
      <charset val="178"/>
    </font>
    <font>
      <b/>
      <sz val="8"/>
      <name val="B Nazanin"/>
      <charset val="178"/>
    </font>
    <font>
      <b/>
      <sz val="10"/>
      <name val="B Nazanin"/>
      <charset val="178"/>
    </font>
    <font>
      <sz val="11"/>
      <color theme="1"/>
      <name val="2  Roya"/>
      <charset val="178"/>
    </font>
    <font>
      <sz val="11"/>
      <color theme="1"/>
      <name val="2  Titr"/>
      <charset val="178"/>
    </font>
    <font>
      <b/>
      <sz val="11"/>
      <color theme="1"/>
      <name val="2  Roya"/>
      <charset val="178"/>
    </font>
    <font>
      <b/>
      <sz val="14"/>
      <color theme="1"/>
      <name val="B Nazanin"/>
      <charset val="178"/>
    </font>
    <font>
      <b/>
      <sz val="10"/>
      <color theme="1"/>
      <name val="B Nazanin"/>
      <charset val="178"/>
    </font>
    <font>
      <sz val="12"/>
      <color theme="1"/>
      <name val="B Nazanin"/>
      <charset val="178"/>
    </font>
    <font>
      <b/>
      <sz val="11"/>
      <name val="B Nazanin"/>
      <charset val="178"/>
    </font>
    <font>
      <b/>
      <sz val="9"/>
      <name val="B Nazanin"/>
      <charset val="178"/>
    </font>
    <font>
      <sz val="13"/>
      <name val="B Nazanin"/>
      <charset val="178"/>
    </font>
    <font>
      <b/>
      <u/>
      <sz val="11"/>
      <name val="B Nazanin"/>
      <charset val="178"/>
    </font>
    <font>
      <sz val="11"/>
      <name val="B Nazanin"/>
      <charset val="178"/>
    </font>
    <font>
      <sz val="12"/>
      <name val="B Nazanin"/>
      <charset val="178"/>
    </font>
    <font>
      <sz val="10"/>
      <name val="B Nazanin"/>
      <charset val="178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0"/>
      <color theme="1"/>
      <name val="B Nazanin"/>
      <charset val="178"/>
    </font>
    <font>
      <b/>
      <sz val="16"/>
      <color rgb="FFFF0000"/>
      <name val="B Nazanin"/>
      <charset val="178"/>
    </font>
    <font>
      <b/>
      <sz val="14"/>
      <color rgb="FFFF0000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3" fontId="3" fillId="0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3" fontId="3" fillId="2" borderId="0" xfId="0" applyNumberFormat="1" applyFont="1" applyFill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5" borderId="15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7" borderId="15" xfId="0" applyFont="1" applyFill="1" applyBorder="1" applyAlignment="1">
      <alignment horizontal="center" vertical="center"/>
    </xf>
    <xf numFmtId="0" fontId="20" fillId="9" borderId="15" xfId="0" applyFont="1" applyFill="1" applyBorder="1" applyAlignment="1">
      <alignment horizontal="center" vertical="center"/>
    </xf>
    <xf numFmtId="2" fontId="20" fillId="8" borderId="15" xfId="0" applyNumberFormat="1" applyFont="1" applyFill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7" borderId="18" xfId="0" applyFont="1" applyFill="1" applyBorder="1" applyAlignment="1">
      <alignment horizontal="center" vertical="center"/>
    </xf>
    <xf numFmtId="0" fontId="20" fillId="9" borderId="18" xfId="0" applyFont="1" applyFill="1" applyBorder="1" applyAlignment="1">
      <alignment horizontal="center" vertical="center"/>
    </xf>
    <xf numFmtId="0" fontId="20" fillId="8" borderId="18" xfId="0" applyFon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3" fontId="20" fillId="3" borderId="18" xfId="0" applyNumberFormat="1" applyFont="1" applyFill="1" applyBorder="1" applyAlignment="1">
      <alignment horizontal="center" vertical="center"/>
    </xf>
    <xf numFmtId="3" fontId="20" fillId="2" borderId="18" xfId="0" applyNumberFormat="1" applyFont="1" applyFill="1" applyBorder="1" applyAlignment="1">
      <alignment horizontal="center" vertical="center"/>
    </xf>
    <xf numFmtId="3" fontId="20" fillId="5" borderId="18" xfId="0" applyNumberFormat="1" applyFont="1" applyFill="1" applyBorder="1" applyAlignment="1">
      <alignment horizontal="center" vertical="center"/>
    </xf>
    <xf numFmtId="3" fontId="20" fillId="6" borderId="18" xfId="0" applyNumberFormat="1" applyFont="1" applyFill="1" applyBorder="1" applyAlignment="1">
      <alignment horizontal="center" vertical="center"/>
    </xf>
    <xf numFmtId="3" fontId="20" fillId="7" borderId="18" xfId="0" applyNumberFormat="1" applyFont="1" applyFill="1" applyBorder="1" applyAlignment="1">
      <alignment horizontal="center" vertical="center"/>
    </xf>
    <xf numFmtId="3" fontId="20" fillId="9" borderId="18" xfId="0" applyNumberFormat="1" applyFont="1" applyFill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3" fontId="20" fillId="8" borderId="18" xfId="0" applyNumberFormat="1" applyFont="1" applyFill="1" applyBorder="1" applyAlignment="1">
      <alignment horizontal="center" vertical="center"/>
    </xf>
    <xf numFmtId="1" fontId="20" fillId="4" borderId="18" xfId="0" applyNumberFormat="1" applyFont="1" applyFill="1" applyBorder="1" applyAlignment="1">
      <alignment horizontal="center" vertical="center"/>
    </xf>
    <xf numFmtId="4" fontId="20" fillId="6" borderId="18" xfId="0" applyNumberFormat="1" applyFont="1" applyFill="1" applyBorder="1" applyAlignment="1">
      <alignment horizontal="center" vertical="center"/>
    </xf>
    <xf numFmtId="4" fontId="20" fillId="7" borderId="18" xfId="0" applyNumberFormat="1" applyFont="1" applyFill="1" applyBorder="1" applyAlignment="1">
      <alignment horizontal="center" vertical="center"/>
    </xf>
    <xf numFmtId="4" fontId="20" fillId="9" borderId="18" xfId="0" applyNumberFormat="1" applyFont="1" applyFill="1" applyBorder="1" applyAlignment="1">
      <alignment horizontal="center" vertical="center"/>
    </xf>
    <xf numFmtId="4" fontId="20" fillId="8" borderId="18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center" vertical="center"/>
    </xf>
    <xf numFmtId="3" fontId="20" fillId="8" borderId="2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3" fontId="11" fillId="2" borderId="1" xfId="0" applyNumberFormat="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165" fontId="11" fillId="2" borderId="1" xfId="0" applyNumberFormat="1" applyFont="1" applyFill="1" applyBorder="1" applyAlignment="1">
      <alignment horizontal="center" vertical="center" shrinkToFit="1"/>
    </xf>
    <xf numFmtId="165" fontId="11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2" fontId="11" fillId="0" borderId="1" xfId="0" applyNumberFormat="1" applyFont="1" applyFill="1" applyBorder="1" applyAlignment="1">
      <alignment horizontal="center" vertical="center" shrinkToFit="1"/>
    </xf>
    <xf numFmtId="164" fontId="11" fillId="0" borderId="1" xfId="0" applyNumberFormat="1" applyFont="1" applyFill="1" applyBorder="1" applyAlignment="1">
      <alignment horizontal="center" vertical="center" shrinkToFit="1"/>
    </xf>
    <xf numFmtId="1" fontId="11" fillId="0" borderId="1" xfId="0" applyNumberFormat="1" applyFont="1" applyFill="1" applyBorder="1" applyAlignment="1">
      <alignment horizontal="center" vertical="center" shrinkToFit="1"/>
    </xf>
    <xf numFmtId="2" fontId="11" fillId="2" borderId="1" xfId="0" applyNumberFormat="1" applyFont="1" applyFill="1" applyBorder="1" applyAlignment="1">
      <alignment horizontal="center" vertical="center" shrinkToFit="1"/>
    </xf>
    <xf numFmtId="3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2" borderId="1" xfId="0" applyNumberFormat="1" applyFont="1" applyFill="1" applyBorder="1" applyAlignment="1">
      <alignment horizontal="center" vertical="center" shrinkToFit="1"/>
    </xf>
    <xf numFmtId="164" fontId="11" fillId="2" borderId="1" xfId="0" applyNumberFormat="1" applyFont="1" applyFill="1" applyBorder="1" applyAlignment="1">
      <alignment horizontal="center" vertical="center" shrinkToFit="1"/>
    </xf>
    <xf numFmtId="14" fontId="11" fillId="0" borderId="1" xfId="0" applyNumberFormat="1" applyFont="1" applyFill="1" applyBorder="1" applyAlignment="1">
      <alignment horizontal="center" vertical="center" shrinkToFit="1"/>
    </xf>
    <xf numFmtId="14" fontId="11" fillId="2" borderId="1" xfId="0" applyNumberFormat="1" applyFont="1" applyFill="1" applyBorder="1" applyAlignment="1">
      <alignment horizontal="center" vertical="center" shrinkToFit="1"/>
    </xf>
    <xf numFmtId="3" fontId="11" fillId="2" borderId="1" xfId="0" applyNumberFormat="1" applyFont="1" applyFill="1" applyBorder="1" applyAlignment="1">
      <alignment vertical="center" shrinkToFit="1"/>
    </xf>
    <xf numFmtId="49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 shrinkToFit="1"/>
    </xf>
    <xf numFmtId="164" fontId="17" fillId="0" borderId="0" xfId="0" applyNumberFormat="1" applyFont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 shrinkToFit="1"/>
    </xf>
    <xf numFmtId="166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 shrinkToFit="1"/>
    </xf>
    <xf numFmtId="49" fontId="17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14" fontId="1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top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top"/>
    </xf>
    <xf numFmtId="0" fontId="2" fillId="0" borderId="6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49" fontId="17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180"/>
    </xf>
    <xf numFmtId="0" fontId="19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3" fontId="11" fillId="2" borderId="1" xfId="0" applyNumberFormat="1" applyFont="1" applyFill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rightToLeft="1" tabSelected="1" view="pageBreakPreview" zoomScale="96" zoomScaleNormal="100" zoomScaleSheetLayoutView="96" workbookViewId="0">
      <selection activeCell="F40" sqref="F40"/>
    </sheetView>
  </sheetViews>
  <sheetFormatPr defaultColWidth="9" defaultRowHeight="18.600000000000001"/>
  <cols>
    <col min="1" max="1" width="6.5546875" style="38" customWidth="1"/>
    <col min="2" max="4" width="8.5546875" style="38" customWidth="1"/>
    <col min="5" max="5" width="16.6640625" style="38" customWidth="1"/>
    <col min="6" max="6" width="22.109375" style="38" customWidth="1"/>
    <col min="7" max="7" width="23.44140625" style="38" customWidth="1"/>
    <col min="8" max="8" width="20.88671875" style="38" customWidth="1"/>
    <col min="9" max="9" width="20.77734375" style="38" customWidth="1"/>
    <col min="10" max="10" width="21.77734375" style="38" hidden="1" customWidth="1"/>
    <col min="11" max="11" width="12.44140625" style="38" customWidth="1"/>
    <col min="12" max="16384" width="9" style="38"/>
  </cols>
  <sheetData>
    <row r="1" spans="1:10" ht="31.5" customHeight="1">
      <c r="A1" s="163" t="s">
        <v>188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ht="12.6" customHeight="1">
      <c r="A2" s="131" t="s">
        <v>189</v>
      </c>
      <c r="B2" s="131"/>
      <c r="C2" s="131"/>
      <c r="D2" s="131"/>
      <c r="E2" s="131"/>
      <c r="F2" s="131"/>
      <c r="G2" s="131"/>
      <c r="H2" s="132" t="s">
        <v>199</v>
      </c>
      <c r="I2" s="130" t="s">
        <v>193</v>
      </c>
      <c r="J2" s="130"/>
    </row>
    <row r="3" spans="1:10" ht="12.6" customHeight="1">
      <c r="A3" s="131"/>
      <c r="B3" s="131"/>
      <c r="C3" s="131"/>
      <c r="D3" s="131"/>
      <c r="E3" s="131"/>
      <c r="F3" s="131"/>
      <c r="G3" s="131"/>
      <c r="H3" s="132"/>
      <c r="I3" s="130"/>
      <c r="J3" s="130"/>
    </row>
    <row r="4" spans="1:10" ht="12.6" customHeight="1">
      <c r="A4" s="131" t="s">
        <v>190</v>
      </c>
      <c r="B4" s="131"/>
      <c r="C4" s="131"/>
      <c r="D4" s="131"/>
      <c r="E4" s="131"/>
      <c r="F4" s="131"/>
      <c r="G4" s="131"/>
      <c r="H4" s="132" t="s">
        <v>198</v>
      </c>
      <c r="I4" s="130">
        <v>1</v>
      </c>
      <c r="J4" s="130"/>
    </row>
    <row r="5" spans="1:10" ht="12.6" customHeight="1">
      <c r="A5" s="131"/>
      <c r="B5" s="131"/>
      <c r="C5" s="131"/>
      <c r="D5" s="131"/>
      <c r="E5" s="131"/>
      <c r="F5" s="131"/>
      <c r="G5" s="131"/>
      <c r="H5" s="132"/>
      <c r="I5" s="130"/>
      <c r="J5" s="130"/>
    </row>
    <row r="6" spans="1:10" ht="12.6" customHeight="1">
      <c r="A6" s="131" t="s">
        <v>191</v>
      </c>
      <c r="B6" s="131"/>
      <c r="C6" s="131"/>
      <c r="D6" s="131"/>
      <c r="E6" s="131"/>
      <c r="F6" s="131"/>
      <c r="G6" s="131"/>
      <c r="H6" s="132" t="s">
        <v>197</v>
      </c>
      <c r="I6" s="133" t="s">
        <v>194</v>
      </c>
      <c r="J6" s="133"/>
    </row>
    <row r="7" spans="1:10" ht="12.6" customHeight="1">
      <c r="A7" s="131"/>
      <c r="B7" s="131"/>
      <c r="C7" s="131"/>
      <c r="D7" s="131"/>
      <c r="E7" s="131"/>
      <c r="F7" s="131"/>
      <c r="G7" s="131"/>
      <c r="H7" s="132"/>
      <c r="I7" s="133"/>
      <c r="J7" s="133"/>
    </row>
    <row r="8" spans="1:10" ht="12.6" customHeight="1">
      <c r="A8" s="131" t="s">
        <v>192</v>
      </c>
      <c r="B8" s="131"/>
      <c r="C8" s="131"/>
      <c r="D8" s="131"/>
      <c r="E8" s="131"/>
      <c r="F8" s="131"/>
      <c r="G8" s="131"/>
      <c r="H8" s="132" t="s">
        <v>196</v>
      </c>
      <c r="I8" s="133" t="s">
        <v>195</v>
      </c>
      <c r="J8" s="133"/>
    </row>
    <row r="9" spans="1:10" ht="12.6" customHeight="1">
      <c r="A9" s="131"/>
      <c r="B9" s="131"/>
      <c r="C9" s="131"/>
      <c r="D9" s="131"/>
      <c r="E9" s="131"/>
      <c r="F9" s="131"/>
      <c r="G9" s="131"/>
      <c r="H9" s="132"/>
      <c r="I9" s="133"/>
      <c r="J9" s="133"/>
    </row>
    <row r="10" spans="1:10" ht="12.6" customHeight="1">
      <c r="A10" s="162" t="s">
        <v>200</v>
      </c>
      <c r="B10" s="162"/>
      <c r="C10" s="162"/>
      <c r="D10" s="162"/>
      <c r="E10" s="162"/>
      <c r="F10" s="162"/>
      <c r="G10" s="162"/>
      <c r="H10" s="162"/>
      <c r="I10" s="162"/>
      <c r="J10" s="162"/>
    </row>
    <row r="11" spans="1:10" ht="12.6" customHeight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</row>
    <row r="12" spans="1:10" ht="39.9" customHeight="1">
      <c r="A12" s="134" t="s">
        <v>201</v>
      </c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ht="27.6" customHeight="1">
      <c r="A13" s="136" t="s">
        <v>6</v>
      </c>
      <c r="B13" s="138"/>
      <c r="C13" s="130" t="s">
        <v>1</v>
      </c>
      <c r="D13" s="130"/>
      <c r="E13" s="130"/>
      <c r="F13" s="32" t="s">
        <v>2</v>
      </c>
      <c r="G13" s="32" t="s">
        <v>3</v>
      </c>
      <c r="H13" s="32" t="s">
        <v>4</v>
      </c>
      <c r="I13" s="32" t="s">
        <v>9</v>
      </c>
      <c r="J13" s="33"/>
    </row>
    <row r="14" spans="1:10" ht="20.100000000000001" customHeight="1">
      <c r="A14" s="164">
        <v>1</v>
      </c>
      <c r="B14" s="165"/>
      <c r="C14" s="129" t="s">
        <v>17</v>
      </c>
      <c r="D14" s="129"/>
      <c r="E14" s="129"/>
      <c r="F14" s="39">
        <f>29480/1850</f>
        <v>15.935135135135136</v>
      </c>
      <c r="G14" s="129" t="s">
        <v>202</v>
      </c>
      <c r="H14" s="120" t="s">
        <v>193</v>
      </c>
      <c r="I14" s="127" t="s">
        <v>44</v>
      </c>
      <c r="J14" s="33"/>
    </row>
    <row r="15" spans="1:10" ht="20.100000000000001" customHeight="1">
      <c r="A15" s="164">
        <v>2</v>
      </c>
      <c r="B15" s="165"/>
      <c r="C15" s="129"/>
      <c r="D15" s="129"/>
      <c r="E15" s="129"/>
      <c r="F15" s="39">
        <f>28740/1850</f>
        <v>15.535135135135135</v>
      </c>
      <c r="G15" s="129"/>
      <c r="H15" s="126" t="s">
        <v>193</v>
      </c>
      <c r="I15" s="127" t="s">
        <v>44</v>
      </c>
      <c r="J15" s="33"/>
    </row>
    <row r="16" spans="1:10" ht="20.100000000000001" customHeight="1">
      <c r="A16" s="164">
        <v>3</v>
      </c>
      <c r="B16" s="165"/>
      <c r="C16" s="129"/>
      <c r="D16" s="129"/>
      <c r="E16" s="129"/>
      <c r="F16" s="39">
        <f>30050/1850</f>
        <v>16.243243243243242</v>
      </c>
      <c r="G16" s="129"/>
      <c r="H16" s="126" t="s">
        <v>193</v>
      </c>
      <c r="I16" s="127" t="s">
        <v>44</v>
      </c>
      <c r="J16" s="33"/>
    </row>
    <row r="17" spans="1:10" ht="20.100000000000001" customHeight="1">
      <c r="A17" s="164">
        <v>4</v>
      </c>
      <c r="B17" s="165"/>
      <c r="C17" s="129"/>
      <c r="D17" s="129"/>
      <c r="E17" s="129"/>
      <c r="F17" s="39">
        <f>30480/1850</f>
        <v>16.475675675675674</v>
      </c>
      <c r="G17" s="39" t="s">
        <v>202</v>
      </c>
      <c r="H17" s="126" t="s">
        <v>193</v>
      </c>
      <c r="I17" s="127" t="s">
        <v>44</v>
      </c>
      <c r="J17" s="33"/>
    </row>
    <row r="18" spans="1:10" ht="20.100000000000001" customHeight="1">
      <c r="A18" s="164">
        <v>5</v>
      </c>
      <c r="B18" s="165"/>
      <c r="C18" s="129"/>
      <c r="D18" s="129"/>
      <c r="E18" s="129"/>
      <c r="F18" s="39">
        <f>28390/1850</f>
        <v>15.345945945945946</v>
      </c>
      <c r="G18" s="39" t="s">
        <v>202</v>
      </c>
      <c r="H18" s="126" t="s">
        <v>193</v>
      </c>
      <c r="I18" s="37" t="s">
        <v>44</v>
      </c>
      <c r="J18" s="33"/>
    </row>
    <row r="19" spans="1:10" ht="20.100000000000001" customHeight="1">
      <c r="A19" s="164">
        <v>6</v>
      </c>
      <c r="B19" s="165"/>
      <c r="C19" s="129" t="s">
        <v>31</v>
      </c>
      <c r="D19" s="129"/>
      <c r="E19" s="129"/>
      <c r="F19" s="35">
        <f>50*50/1000</f>
        <v>2.5</v>
      </c>
      <c r="G19" s="129" t="s">
        <v>22</v>
      </c>
      <c r="H19" s="126" t="s">
        <v>193</v>
      </c>
      <c r="I19" s="127" t="s">
        <v>44</v>
      </c>
      <c r="J19" s="33"/>
    </row>
    <row r="20" spans="1:10" ht="20.100000000000001" customHeight="1">
      <c r="A20" s="164">
        <v>7</v>
      </c>
      <c r="B20" s="165"/>
      <c r="C20" s="129"/>
      <c r="D20" s="129"/>
      <c r="E20" s="129"/>
      <c r="F20" s="35">
        <f>50*50/1000</f>
        <v>2.5</v>
      </c>
      <c r="G20" s="129"/>
      <c r="H20" s="126" t="s">
        <v>193</v>
      </c>
      <c r="I20" s="127" t="s">
        <v>44</v>
      </c>
      <c r="J20" s="33"/>
    </row>
    <row r="21" spans="1:10" ht="20.100000000000001" customHeight="1">
      <c r="A21" s="164">
        <v>8</v>
      </c>
      <c r="B21" s="165"/>
      <c r="C21" s="129"/>
      <c r="D21" s="129"/>
      <c r="E21" s="129"/>
      <c r="F21" s="35">
        <f>50*50/1000</f>
        <v>2.5</v>
      </c>
      <c r="G21" s="129"/>
      <c r="H21" s="126" t="s">
        <v>193</v>
      </c>
      <c r="I21" s="127" t="s">
        <v>44</v>
      </c>
      <c r="J21" s="33"/>
    </row>
    <row r="22" spans="1:10" ht="20.100000000000001" customHeight="1">
      <c r="A22" s="164">
        <v>9</v>
      </c>
      <c r="B22" s="165"/>
      <c r="C22" s="129" t="s">
        <v>32</v>
      </c>
      <c r="D22" s="129"/>
      <c r="E22" s="129"/>
      <c r="F22" s="121">
        <f>10*25/1000</f>
        <v>0.25</v>
      </c>
      <c r="G22" s="33" t="s">
        <v>22</v>
      </c>
      <c r="H22" s="126" t="s">
        <v>193</v>
      </c>
      <c r="I22" s="127" t="s">
        <v>44</v>
      </c>
      <c r="J22" s="33"/>
    </row>
    <row r="23" spans="1:10" ht="20.100000000000001" customHeight="1">
      <c r="A23" s="164">
        <v>10</v>
      </c>
      <c r="B23" s="165"/>
      <c r="C23" s="129" t="s">
        <v>33</v>
      </c>
      <c r="D23" s="129"/>
      <c r="E23" s="129"/>
      <c r="F23" s="39">
        <f>10*40/1000</f>
        <v>0.4</v>
      </c>
      <c r="G23" s="129" t="s">
        <v>22</v>
      </c>
      <c r="H23" s="126" t="s">
        <v>193</v>
      </c>
      <c r="I23" s="127" t="s">
        <v>44</v>
      </c>
      <c r="J23" s="33"/>
    </row>
    <row r="24" spans="1:10" ht="20.100000000000001" customHeight="1">
      <c r="A24" s="164">
        <v>11</v>
      </c>
      <c r="B24" s="165"/>
      <c r="C24" s="129"/>
      <c r="D24" s="129"/>
      <c r="E24" s="129"/>
      <c r="F24" s="39">
        <f>5*40/1000</f>
        <v>0.2</v>
      </c>
      <c r="G24" s="129"/>
      <c r="H24" s="126" t="s">
        <v>193</v>
      </c>
      <c r="I24" s="127" t="s">
        <v>44</v>
      </c>
      <c r="J24" s="33"/>
    </row>
    <row r="25" spans="1:10" ht="20.100000000000001" customHeight="1">
      <c r="A25" s="164">
        <v>12</v>
      </c>
      <c r="B25" s="165"/>
      <c r="C25" s="129" t="s">
        <v>12</v>
      </c>
      <c r="D25" s="129"/>
      <c r="E25" s="129"/>
      <c r="F25" s="40">
        <f>16/0.002</f>
        <v>8000</v>
      </c>
      <c r="G25" s="129" t="s">
        <v>56</v>
      </c>
      <c r="H25" s="126" t="s">
        <v>193</v>
      </c>
      <c r="I25" s="37" t="s">
        <v>29</v>
      </c>
      <c r="J25" s="33"/>
    </row>
    <row r="26" spans="1:10" ht="20.100000000000001" customHeight="1">
      <c r="A26" s="164">
        <v>13</v>
      </c>
      <c r="B26" s="165"/>
      <c r="C26" s="129"/>
      <c r="D26" s="129"/>
      <c r="E26" s="129"/>
      <c r="F26" s="40">
        <f>16.07/0.002</f>
        <v>8035</v>
      </c>
      <c r="G26" s="129"/>
      <c r="H26" s="126" t="s">
        <v>193</v>
      </c>
      <c r="I26" s="37" t="s">
        <v>29</v>
      </c>
      <c r="J26" s="33"/>
    </row>
    <row r="27" spans="1:10" ht="20.100000000000001" customHeight="1">
      <c r="A27" s="164">
        <v>14</v>
      </c>
      <c r="B27" s="165"/>
      <c r="C27" s="129" t="s">
        <v>34</v>
      </c>
      <c r="D27" s="129"/>
      <c r="E27" s="129"/>
      <c r="F27" s="39">
        <f>50*3.77*6</f>
        <v>1131</v>
      </c>
      <c r="G27" s="129" t="s">
        <v>23</v>
      </c>
      <c r="H27" s="126" t="s">
        <v>193</v>
      </c>
      <c r="I27" s="37" t="s">
        <v>203</v>
      </c>
      <c r="J27" s="33"/>
    </row>
    <row r="28" spans="1:10" ht="20.100000000000001" customHeight="1">
      <c r="A28" s="164">
        <v>15</v>
      </c>
      <c r="B28" s="165"/>
      <c r="C28" s="129"/>
      <c r="D28" s="129"/>
      <c r="E28" s="129"/>
      <c r="F28" s="39">
        <f>60*3.77*6</f>
        <v>1357.1999999999998</v>
      </c>
      <c r="G28" s="129"/>
      <c r="H28" s="126" t="s">
        <v>193</v>
      </c>
      <c r="I28" s="127" t="s">
        <v>203</v>
      </c>
      <c r="J28" s="33"/>
    </row>
    <row r="29" spans="1:10" ht="20.100000000000001" customHeight="1">
      <c r="A29" s="164">
        <v>16</v>
      </c>
      <c r="B29" s="165"/>
      <c r="C29" s="129" t="s">
        <v>28</v>
      </c>
      <c r="D29" s="129"/>
      <c r="E29" s="129"/>
      <c r="F29" s="39">
        <f>0.15*0.25*0.008*7850*50</f>
        <v>117.75</v>
      </c>
      <c r="G29" s="129" t="s">
        <v>23</v>
      </c>
      <c r="H29" s="126" t="s">
        <v>193</v>
      </c>
      <c r="I29" s="127" t="s">
        <v>203</v>
      </c>
      <c r="J29" s="33"/>
    </row>
    <row r="30" spans="1:10" ht="20.100000000000001" customHeight="1">
      <c r="A30" s="164">
        <v>17</v>
      </c>
      <c r="B30" s="165"/>
      <c r="C30" s="129"/>
      <c r="D30" s="129"/>
      <c r="E30" s="129"/>
      <c r="F30" s="39">
        <f>0.15*0.15*0.008*7850*60</f>
        <v>84.779999999999987</v>
      </c>
      <c r="G30" s="129"/>
      <c r="H30" s="126" t="s">
        <v>193</v>
      </c>
      <c r="I30" s="127" t="s">
        <v>203</v>
      </c>
      <c r="J30" s="33"/>
    </row>
    <row r="31" spans="1:10" ht="20.100000000000001" customHeight="1">
      <c r="A31" s="164">
        <v>18</v>
      </c>
      <c r="B31" s="165"/>
      <c r="C31" s="129"/>
      <c r="D31" s="129"/>
      <c r="E31" s="129"/>
      <c r="F31" s="39">
        <f>0.27*0.27*0.008*7850*20</f>
        <v>91.562400000000025</v>
      </c>
      <c r="G31" s="129"/>
      <c r="H31" s="126" t="s">
        <v>193</v>
      </c>
      <c r="I31" s="127" t="s">
        <v>203</v>
      </c>
      <c r="J31" s="33"/>
    </row>
    <row r="32" spans="1:10" ht="20.100000000000001" customHeight="1">
      <c r="A32" s="164">
        <v>19</v>
      </c>
      <c r="B32" s="165"/>
      <c r="C32" s="129" t="s">
        <v>36</v>
      </c>
      <c r="D32" s="129"/>
      <c r="E32" s="129"/>
      <c r="F32" s="39">
        <f>25730/2000</f>
        <v>12.865</v>
      </c>
      <c r="G32" s="129" t="s">
        <v>41</v>
      </c>
      <c r="H32" s="126" t="s">
        <v>193</v>
      </c>
      <c r="I32" s="37" t="s">
        <v>42</v>
      </c>
      <c r="J32" s="33"/>
    </row>
    <row r="33" spans="1:11" ht="20.100000000000001" customHeight="1">
      <c r="A33" s="164">
        <v>20</v>
      </c>
      <c r="B33" s="165"/>
      <c r="C33" s="129"/>
      <c r="D33" s="129"/>
      <c r="E33" s="129"/>
      <c r="F33" s="39">
        <f>25650/2000</f>
        <v>12.824999999999999</v>
      </c>
      <c r="G33" s="129"/>
      <c r="H33" s="126" t="s">
        <v>193</v>
      </c>
      <c r="I33" s="37" t="s">
        <v>42</v>
      </c>
      <c r="J33" s="33"/>
    </row>
    <row r="34" spans="1:11" ht="20.100000000000001" customHeight="1">
      <c r="A34" s="164">
        <v>21</v>
      </c>
      <c r="B34" s="165"/>
      <c r="C34" s="129"/>
      <c r="D34" s="129"/>
      <c r="E34" s="129"/>
      <c r="F34" s="39">
        <f>28010/2000</f>
        <v>14.005000000000001</v>
      </c>
      <c r="G34" s="129"/>
      <c r="H34" s="126" t="s">
        <v>193</v>
      </c>
      <c r="I34" s="37" t="s">
        <v>44</v>
      </c>
      <c r="J34" s="33"/>
    </row>
    <row r="35" spans="1:11" ht="20.100000000000001" customHeight="1">
      <c r="A35" s="164">
        <v>22</v>
      </c>
      <c r="B35" s="165"/>
      <c r="C35" s="129"/>
      <c r="D35" s="129"/>
      <c r="E35" s="129"/>
      <c r="F35" s="39">
        <f>25910/2000</f>
        <v>12.955</v>
      </c>
      <c r="G35" s="129"/>
      <c r="H35" s="126" t="s">
        <v>193</v>
      </c>
      <c r="I35" s="37" t="s">
        <v>44</v>
      </c>
      <c r="J35" s="33"/>
    </row>
    <row r="36" spans="1:11" ht="20.100000000000001" customHeight="1">
      <c r="A36" s="164">
        <v>23</v>
      </c>
      <c r="B36" s="165"/>
      <c r="C36" s="129"/>
      <c r="D36" s="129"/>
      <c r="E36" s="129"/>
      <c r="F36" s="39">
        <f>28690/2000</f>
        <v>14.345000000000001</v>
      </c>
      <c r="G36" s="129"/>
      <c r="H36" s="126" t="s">
        <v>193</v>
      </c>
      <c r="I36" s="37" t="s">
        <v>44</v>
      </c>
      <c r="J36" s="33"/>
      <c r="K36" s="122"/>
    </row>
    <row r="37" spans="1:11" ht="20.100000000000001" customHeight="1">
      <c r="A37" s="164">
        <v>24</v>
      </c>
      <c r="B37" s="165"/>
      <c r="C37" s="129" t="s">
        <v>53</v>
      </c>
      <c r="D37" s="129"/>
      <c r="E37" s="129"/>
      <c r="F37" s="123">
        <v>200</v>
      </c>
      <c r="G37" s="33" t="s">
        <v>8</v>
      </c>
      <c r="H37" s="126" t="s">
        <v>193</v>
      </c>
      <c r="I37" s="37" t="s">
        <v>204</v>
      </c>
      <c r="J37" s="33"/>
    </row>
    <row r="38" spans="1:11" ht="36" customHeight="1">
      <c r="A38" s="135" t="s">
        <v>5</v>
      </c>
      <c r="B38" s="135"/>
      <c r="C38" s="135"/>
      <c r="D38" s="135"/>
      <c r="E38" s="135"/>
      <c r="F38" s="135"/>
      <c r="G38" s="135"/>
      <c r="H38" s="135"/>
      <c r="I38" s="135"/>
      <c r="J38" s="135"/>
    </row>
    <row r="39" spans="1:11" ht="24" customHeight="1">
      <c r="A39" s="130" t="s">
        <v>205</v>
      </c>
      <c r="B39" s="130"/>
      <c r="C39" s="130"/>
      <c r="D39" s="130"/>
      <c r="E39" s="130"/>
      <c r="F39" s="130"/>
      <c r="G39" s="130" t="s">
        <v>49</v>
      </c>
      <c r="H39" s="130"/>
      <c r="I39" s="130"/>
      <c r="J39" s="130"/>
    </row>
    <row r="40" spans="1:11" ht="51" customHeight="1">
      <c r="A40" s="130"/>
      <c r="B40" s="130"/>
      <c r="C40" s="130"/>
      <c r="D40" s="130"/>
      <c r="E40" s="166"/>
      <c r="F40" s="166"/>
      <c r="G40" s="34"/>
      <c r="H40" s="130"/>
      <c r="I40" s="130"/>
      <c r="J40" s="130"/>
    </row>
  </sheetData>
  <mergeCells count="63"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40:B40"/>
    <mergeCell ref="C40:D40"/>
    <mergeCell ref="H40:J40"/>
    <mergeCell ref="A39:F39"/>
    <mergeCell ref="G39:J39"/>
    <mergeCell ref="A38:J38"/>
    <mergeCell ref="C27:E28"/>
    <mergeCell ref="G27:G28"/>
    <mergeCell ref="C29:E31"/>
    <mergeCell ref="G29:G31"/>
    <mergeCell ref="C37:E37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1:J1"/>
    <mergeCell ref="A2:G3"/>
    <mergeCell ref="H2:H3"/>
    <mergeCell ref="I2:J3"/>
    <mergeCell ref="A4:G5"/>
    <mergeCell ref="H4:H5"/>
    <mergeCell ref="I4:J5"/>
    <mergeCell ref="C13:E13"/>
    <mergeCell ref="A6:G7"/>
    <mergeCell ref="H6:H7"/>
    <mergeCell ref="I6:J7"/>
    <mergeCell ref="A8:G9"/>
    <mergeCell ref="H8:H9"/>
    <mergeCell ref="I8:J9"/>
    <mergeCell ref="A10:J11"/>
    <mergeCell ref="A12:J12"/>
    <mergeCell ref="A13:B13"/>
    <mergeCell ref="C14:E18"/>
    <mergeCell ref="C32:E36"/>
    <mergeCell ref="G32:G36"/>
    <mergeCell ref="G19:G21"/>
    <mergeCell ref="C19:E21"/>
    <mergeCell ref="G14:G16"/>
    <mergeCell ref="C23:E24"/>
    <mergeCell ref="C25:E26"/>
    <mergeCell ref="G23:G24"/>
    <mergeCell ref="G25:G26"/>
    <mergeCell ref="C22:E22"/>
  </mergeCells>
  <printOptions horizontalCentered="1" verticalCentered="1"/>
  <pageMargins left="0.39370078740157483" right="0.39370078740157483" top="0.19685039370078741" bottom="0.19685039370078741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topLeftCell="A10" zoomScale="112" zoomScaleNormal="112" workbookViewId="0">
      <selection activeCell="I16" sqref="A1:J40"/>
    </sheetView>
  </sheetViews>
  <sheetFormatPr defaultColWidth="9" defaultRowHeight="15"/>
  <cols>
    <col min="1" max="1" width="5.5546875" style="1" customWidth="1"/>
    <col min="2" max="2" width="6.5546875" style="1" customWidth="1"/>
    <col min="3" max="5" width="8.5546875" style="1" customWidth="1"/>
    <col min="6" max="8" width="9.5546875" style="1" customWidth="1"/>
    <col min="9" max="9" width="17.5546875" style="1" customWidth="1"/>
    <col min="10" max="10" width="5.33203125" style="1" customWidth="1"/>
    <col min="11" max="16384" width="9" style="1"/>
  </cols>
  <sheetData>
    <row r="1" spans="1:10" ht="31.5" customHeight="1">
      <c r="A1" s="139" t="s">
        <v>181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6" customHeight="1">
      <c r="A2" s="131" t="s">
        <v>175</v>
      </c>
      <c r="B2" s="131"/>
      <c r="C2" s="131"/>
      <c r="D2" s="131"/>
      <c r="E2" s="131"/>
      <c r="F2" s="131"/>
      <c r="G2" s="131"/>
      <c r="H2" s="132" t="s">
        <v>7</v>
      </c>
      <c r="I2" s="130"/>
      <c r="J2" s="130"/>
    </row>
    <row r="3" spans="1:10" ht="12.6" customHeight="1">
      <c r="A3" s="131"/>
      <c r="B3" s="131"/>
      <c r="C3" s="131"/>
      <c r="D3" s="131"/>
      <c r="E3" s="131"/>
      <c r="F3" s="131"/>
      <c r="G3" s="131"/>
      <c r="H3" s="132"/>
      <c r="I3" s="130"/>
      <c r="J3" s="130"/>
    </row>
    <row r="4" spans="1:10" ht="12.6" customHeight="1">
      <c r="A4" s="131" t="s">
        <v>172</v>
      </c>
      <c r="B4" s="131"/>
      <c r="C4" s="131"/>
      <c r="D4" s="131"/>
      <c r="E4" s="131"/>
      <c r="F4" s="131"/>
      <c r="G4" s="131"/>
      <c r="H4" s="132" t="s">
        <v>37</v>
      </c>
      <c r="I4" s="130"/>
      <c r="J4" s="130"/>
    </row>
    <row r="5" spans="1:10" ht="12.6" customHeight="1">
      <c r="A5" s="131"/>
      <c r="B5" s="131"/>
      <c r="C5" s="131"/>
      <c r="D5" s="131"/>
      <c r="E5" s="131"/>
      <c r="F5" s="131"/>
      <c r="G5" s="131"/>
      <c r="H5" s="132"/>
      <c r="I5" s="130"/>
      <c r="J5" s="130"/>
    </row>
    <row r="6" spans="1:10" ht="12.6" customHeight="1">
      <c r="A6" s="131" t="s">
        <v>176</v>
      </c>
      <c r="B6" s="131"/>
      <c r="C6" s="131"/>
      <c r="D6" s="131"/>
      <c r="E6" s="131"/>
      <c r="F6" s="131"/>
      <c r="G6" s="131"/>
      <c r="H6" s="132" t="s">
        <v>38</v>
      </c>
      <c r="I6" s="133"/>
      <c r="J6" s="140"/>
    </row>
    <row r="7" spans="1:10" ht="12.6" customHeight="1">
      <c r="A7" s="131"/>
      <c r="B7" s="131"/>
      <c r="C7" s="131"/>
      <c r="D7" s="131"/>
      <c r="E7" s="131"/>
      <c r="F7" s="131"/>
      <c r="G7" s="131"/>
      <c r="H7" s="132"/>
      <c r="I7" s="140"/>
      <c r="J7" s="140"/>
    </row>
    <row r="8" spans="1:10" ht="12.6" customHeight="1">
      <c r="A8" s="131" t="s">
        <v>174</v>
      </c>
      <c r="B8" s="131"/>
      <c r="C8" s="131"/>
      <c r="D8" s="131"/>
      <c r="E8" s="131"/>
      <c r="F8" s="131"/>
      <c r="G8" s="131"/>
      <c r="H8" s="132" t="s">
        <v>0</v>
      </c>
      <c r="I8" s="133"/>
      <c r="J8" s="140"/>
    </row>
    <row r="9" spans="1:10" ht="12.6" customHeight="1">
      <c r="A9" s="131"/>
      <c r="B9" s="131"/>
      <c r="C9" s="131"/>
      <c r="D9" s="131"/>
      <c r="E9" s="131"/>
      <c r="F9" s="131"/>
      <c r="G9" s="131"/>
      <c r="H9" s="132"/>
      <c r="I9" s="140"/>
      <c r="J9" s="140"/>
    </row>
    <row r="10" spans="1:10" ht="12.6" customHeight="1">
      <c r="A10" s="131" t="s">
        <v>39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6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39.9" customHeight="1">
      <c r="A12" s="134" t="s">
        <v>180</v>
      </c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ht="27.6" customHeight="1">
      <c r="A13" s="31"/>
      <c r="B13" s="32" t="s">
        <v>6</v>
      </c>
      <c r="C13" s="130" t="s">
        <v>1</v>
      </c>
      <c r="D13" s="130"/>
      <c r="E13" s="130"/>
      <c r="F13" s="32" t="s">
        <v>2</v>
      </c>
      <c r="G13" s="32" t="s">
        <v>3</v>
      </c>
      <c r="H13" s="32" t="s">
        <v>4</v>
      </c>
      <c r="I13" s="32" t="s">
        <v>9</v>
      </c>
      <c r="J13" s="31"/>
    </row>
    <row r="14" spans="1:10" ht="18.899999999999999" customHeight="1">
      <c r="A14" s="31"/>
      <c r="B14" s="33">
        <v>1</v>
      </c>
      <c r="C14" s="129" t="s">
        <v>36</v>
      </c>
      <c r="D14" s="129"/>
      <c r="E14" s="129"/>
      <c r="F14" s="39">
        <f>26640/2000</f>
        <v>13.32</v>
      </c>
      <c r="G14" s="129" t="s">
        <v>41</v>
      </c>
      <c r="H14" s="36" t="s">
        <v>45</v>
      </c>
      <c r="I14" s="37" t="s">
        <v>42</v>
      </c>
      <c r="J14" s="31"/>
    </row>
    <row r="15" spans="1:10" ht="18.899999999999999" customHeight="1">
      <c r="A15" s="31"/>
      <c r="B15" s="33">
        <v>2</v>
      </c>
      <c r="C15" s="129"/>
      <c r="D15" s="129"/>
      <c r="E15" s="129"/>
      <c r="F15" s="39">
        <f>28710/2000</f>
        <v>14.355</v>
      </c>
      <c r="G15" s="129"/>
      <c r="H15" s="36" t="s">
        <v>47</v>
      </c>
      <c r="I15" s="37" t="s">
        <v>42</v>
      </c>
      <c r="J15" s="31"/>
    </row>
    <row r="16" spans="1:10" ht="18.899999999999999" customHeight="1">
      <c r="A16" s="31"/>
      <c r="B16" s="33">
        <v>3</v>
      </c>
      <c r="C16" s="129"/>
      <c r="D16" s="129"/>
      <c r="E16" s="129"/>
      <c r="F16" s="39">
        <f>26190/2000</f>
        <v>13.095000000000001</v>
      </c>
      <c r="G16" s="129"/>
      <c r="H16" s="36" t="s">
        <v>47</v>
      </c>
      <c r="I16" s="37" t="s">
        <v>42</v>
      </c>
      <c r="J16" s="31"/>
    </row>
    <row r="17" spans="1:10" ht="18.899999999999999" customHeight="1">
      <c r="A17" s="31"/>
      <c r="B17" s="33">
        <v>4</v>
      </c>
      <c r="C17" s="129"/>
      <c r="D17" s="129"/>
      <c r="E17" s="129"/>
      <c r="F17" s="39">
        <f>38100/2000</f>
        <v>19.05</v>
      </c>
      <c r="G17" s="129"/>
      <c r="H17" s="36" t="s">
        <v>47</v>
      </c>
      <c r="I17" s="37" t="s">
        <v>42</v>
      </c>
      <c r="J17" s="31"/>
    </row>
    <row r="18" spans="1:10" ht="18.899999999999999" customHeight="1">
      <c r="A18" s="31"/>
      <c r="B18" s="33">
        <v>5</v>
      </c>
      <c r="C18" s="129"/>
      <c r="D18" s="129"/>
      <c r="E18" s="129"/>
      <c r="F18" s="39">
        <f>37630/2000</f>
        <v>18.815000000000001</v>
      </c>
      <c r="G18" s="129"/>
      <c r="H18" s="36" t="s">
        <v>47</v>
      </c>
      <c r="I18" s="37" t="s">
        <v>42</v>
      </c>
      <c r="J18" s="31"/>
    </row>
    <row r="19" spans="1:10" ht="18.899999999999999" customHeight="1">
      <c r="A19" s="31"/>
      <c r="B19" s="33">
        <v>6</v>
      </c>
      <c r="C19" s="129"/>
      <c r="D19" s="129"/>
      <c r="E19" s="129"/>
      <c r="F19" s="39">
        <f>40720/2000</f>
        <v>20.36</v>
      </c>
      <c r="G19" s="129"/>
      <c r="H19" s="36" t="s">
        <v>48</v>
      </c>
      <c r="I19" s="37" t="s">
        <v>42</v>
      </c>
      <c r="J19" s="31"/>
    </row>
    <row r="20" spans="1:10" s="5" customFormat="1" ht="18.899999999999999" customHeight="1">
      <c r="A20" s="33"/>
      <c r="B20" s="33">
        <v>7</v>
      </c>
      <c r="C20" s="129" t="s">
        <v>28</v>
      </c>
      <c r="D20" s="129"/>
      <c r="E20" s="129"/>
      <c r="F20" s="39">
        <f>0.15*0.15*0.008*7850*265</f>
        <v>374.44499999999994</v>
      </c>
      <c r="G20" s="129" t="s">
        <v>23</v>
      </c>
      <c r="H20" s="36" t="s">
        <v>55</v>
      </c>
      <c r="I20" s="37" t="s">
        <v>35</v>
      </c>
      <c r="J20" s="33"/>
    </row>
    <row r="21" spans="1:10" s="5" customFormat="1" ht="18.899999999999999" customHeight="1">
      <c r="A21" s="33"/>
      <c r="B21" s="33">
        <v>8</v>
      </c>
      <c r="C21" s="129"/>
      <c r="D21" s="129"/>
      <c r="E21" s="129"/>
      <c r="F21" s="39">
        <f>(0.15*0.15*0.008*7850*39)+(100*0.25*0.15*0.008*7850)</f>
        <v>290.60699999999997</v>
      </c>
      <c r="G21" s="129"/>
      <c r="H21" s="36" t="s">
        <v>54</v>
      </c>
      <c r="I21" s="37" t="s">
        <v>35</v>
      </c>
      <c r="J21" s="33"/>
    </row>
    <row r="22" spans="1:10" s="5" customFormat="1" ht="18.899999999999999" customHeight="1">
      <c r="A22" s="33"/>
      <c r="B22" s="33">
        <v>9</v>
      </c>
      <c r="C22" s="129" t="s">
        <v>32</v>
      </c>
      <c r="D22" s="129"/>
      <c r="E22" s="129"/>
      <c r="F22" s="121">
        <f>10*25/1000</f>
        <v>0.25</v>
      </c>
      <c r="G22" s="33" t="s">
        <v>22</v>
      </c>
      <c r="H22" s="36" t="s">
        <v>54</v>
      </c>
      <c r="I22" s="37" t="s">
        <v>30</v>
      </c>
      <c r="J22" s="33"/>
    </row>
    <row r="23" spans="1:10" s="5" customFormat="1" ht="18.899999999999999" customHeight="1">
      <c r="A23" s="33"/>
      <c r="B23" s="33">
        <v>10</v>
      </c>
      <c r="C23" s="129" t="s">
        <v>31</v>
      </c>
      <c r="D23" s="129"/>
      <c r="E23" s="129"/>
      <c r="F23" s="35">
        <f>100*50/1000</f>
        <v>5</v>
      </c>
      <c r="G23" s="129" t="s">
        <v>22</v>
      </c>
      <c r="H23" s="36" t="s">
        <v>54</v>
      </c>
      <c r="I23" s="37" t="s">
        <v>30</v>
      </c>
      <c r="J23" s="33"/>
    </row>
    <row r="24" spans="1:10" s="5" customFormat="1" ht="18.899999999999999" customHeight="1">
      <c r="A24" s="33"/>
      <c r="B24" s="33">
        <v>11</v>
      </c>
      <c r="C24" s="129"/>
      <c r="D24" s="129"/>
      <c r="E24" s="129"/>
      <c r="F24" s="35">
        <f>60*50/1000</f>
        <v>3</v>
      </c>
      <c r="G24" s="129"/>
      <c r="H24" s="36" t="s">
        <v>60</v>
      </c>
      <c r="I24" s="37" t="s">
        <v>30</v>
      </c>
      <c r="J24" s="33"/>
    </row>
    <row r="25" spans="1:10" s="5" customFormat="1" ht="18.899999999999999" customHeight="1">
      <c r="A25" s="33"/>
      <c r="B25" s="33">
        <v>12</v>
      </c>
      <c r="C25" s="129"/>
      <c r="D25" s="129"/>
      <c r="E25" s="129"/>
      <c r="F25" s="35">
        <f>515*50/1000</f>
        <v>25.75</v>
      </c>
      <c r="G25" s="129"/>
      <c r="H25" s="36" t="s">
        <v>60</v>
      </c>
      <c r="I25" s="37" t="s">
        <v>68</v>
      </c>
      <c r="J25" s="33"/>
    </row>
    <row r="26" spans="1:10" s="5" customFormat="1" ht="18.899999999999999" customHeight="1">
      <c r="A26" s="33"/>
      <c r="B26" s="33">
        <v>13</v>
      </c>
      <c r="C26" s="129"/>
      <c r="D26" s="129"/>
      <c r="E26" s="129"/>
      <c r="F26" s="35">
        <f>480*50/1000</f>
        <v>24</v>
      </c>
      <c r="G26" s="129"/>
      <c r="H26" s="36" t="s">
        <v>65</v>
      </c>
      <c r="I26" s="37" t="s">
        <v>68</v>
      </c>
      <c r="J26" s="33"/>
    </row>
    <row r="27" spans="1:10" s="5" customFormat="1" ht="18.899999999999999" customHeight="1">
      <c r="A27" s="33"/>
      <c r="B27" s="33">
        <v>14</v>
      </c>
      <c r="C27" s="129" t="s">
        <v>17</v>
      </c>
      <c r="D27" s="129"/>
      <c r="E27" s="129"/>
      <c r="F27" s="39">
        <f>(26075/1850)</f>
        <v>14.094594594594595</v>
      </c>
      <c r="G27" s="129" t="s">
        <v>41</v>
      </c>
      <c r="H27" s="36" t="s">
        <v>66</v>
      </c>
      <c r="I27" s="37" t="s">
        <v>29</v>
      </c>
      <c r="J27" s="33"/>
    </row>
    <row r="28" spans="1:10" s="5" customFormat="1" ht="18.899999999999999" customHeight="1">
      <c r="A28" s="33"/>
      <c r="B28" s="33">
        <v>15</v>
      </c>
      <c r="C28" s="129"/>
      <c r="D28" s="129"/>
      <c r="E28" s="129"/>
      <c r="F28" s="39">
        <f>((25330+25810)/1850)</f>
        <v>27.643243243243244</v>
      </c>
      <c r="G28" s="129"/>
      <c r="H28" s="36" t="s">
        <v>63</v>
      </c>
      <c r="I28" s="37" t="s">
        <v>29</v>
      </c>
      <c r="J28" s="33"/>
    </row>
    <row r="29" spans="1:10" s="5" customFormat="1" ht="18.899999999999999" customHeight="1">
      <c r="A29" s="33"/>
      <c r="B29" s="33">
        <v>16</v>
      </c>
      <c r="C29" s="129"/>
      <c r="D29" s="129"/>
      <c r="E29" s="129"/>
      <c r="F29" s="39">
        <f>(25540/1850)</f>
        <v>13.805405405405406</v>
      </c>
      <c r="G29" s="129"/>
      <c r="H29" s="36" t="s">
        <v>65</v>
      </c>
      <c r="I29" s="37"/>
      <c r="J29" s="33"/>
    </row>
    <row r="30" spans="1:10" s="5" customFormat="1" ht="18.899999999999999" customHeight="1">
      <c r="A30" s="33"/>
      <c r="B30" s="33">
        <v>17</v>
      </c>
      <c r="C30" s="129" t="s">
        <v>34</v>
      </c>
      <c r="D30" s="129"/>
      <c r="E30" s="129"/>
      <c r="F30" s="124">
        <f>9970</f>
        <v>9970</v>
      </c>
      <c r="G30" s="33" t="s">
        <v>23</v>
      </c>
      <c r="H30" s="36" t="s">
        <v>61</v>
      </c>
      <c r="I30" s="37" t="s">
        <v>68</v>
      </c>
      <c r="J30" s="33"/>
    </row>
    <row r="31" spans="1:10" s="5" customFormat="1" ht="18.899999999999999" customHeight="1">
      <c r="A31" s="33"/>
      <c r="B31" s="33">
        <v>18</v>
      </c>
      <c r="C31" s="129" t="s">
        <v>57</v>
      </c>
      <c r="D31" s="129"/>
      <c r="E31" s="129"/>
      <c r="F31" s="40">
        <v>1300</v>
      </c>
      <c r="G31" s="129" t="s">
        <v>56</v>
      </c>
      <c r="H31" s="36" t="s">
        <v>62</v>
      </c>
      <c r="I31" s="37" t="s">
        <v>35</v>
      </c>
      <c r="J31" s="33"/>
    </row>
    <row r="32" spans="1:10" s="5" customFormat="1" ht="18.899999999999999" customHeight="1">
      <c r="A32" s="33"/>
      <c r="B32" s="33">
        <v>19</v>
      </c>
      <c r="C32" s="129"/>
      <c r="D32" s="129"/>
      <c r="E32" s="129"/>
      <c r="F32" s="40">
        <v>1300</v>
      </c>
      <c r="G32" s="129"/>
      <c r="H32" s="36" t="s">
        <v>58</v>
      </c>
      <c r="I32" s="37" t="s">
        <v>35</v>
      </c>
      <c r="J32" s="33"/>
    </row>
    <row r="33" spans="1:12" s="5" customFormat="1" ht="18.899999999999999" customHeight="1">
      <c r="A33" s="33"/>
      <c r="B33" s="33">
        <v>20</v>
      </c>
      <c r="C33" s="129"/>
      <c r="D33" s="129"/>
      <c r="E33" s="129"/>
      <c r="F33" s="40">
        <f>1300*2</f>
        <v>2600</v>
      </c>
      <c r="G33" s="129"/>
      <c r="H33" s="36" t="s">
        <v>63</v>
      </c>
      <c r="I33" s="37" t="s">
        <v>35</v>
      </c>
      <c r="J33" s="33"/>
    </row>
    <row r="34" spans="1:12" s="5" customFormat="1" ht="18.899999999999999" customHeight="1">
      <c r="A34" s="33"/>
      <c r="B34" s="33">
        <v>21</v>
      </c>
      <c r="C34" s="129"/>
      <c r="D34" s="129"/>
      <c r="E34" s="129"/>
      <c r="F34" s="40">
        <f>1900+2000</f>
        <v>3900</v>
      </c>
      <c r="G34" s="129"/>
      <c r="H34" s="36" t="s">
        <v>64</v>
      </c>
      <c r="I34" s="37" t="s">
        <v>35</v>
      </c>
      <c r="J34" s="33"/>
    </row>
    <row r="35" spans="1:12" s="5" customFormat="1" ht="18.899999999999999" customHeight="1">
      <c r="A35" s="33"/>
      <c r="B35" s="33">
        <v>22</v>
      </c>
      <c r="C35" s="129"/>
      <c r="D35" s="129"/>
      <c r="E35" s="129"/>
      <c r="F35" s="40">
        <f>1800</f>
        <v>1800</v>
      </c>
      <c r="G35" s="129"/>
      <c r="H35" s="36" t="s">
        <v>65</v>
      </c>
      <c r="I35" s="37" t="s">
        <v>35</v>
      </c>
      <c r="J35" s="33"/>
    </row>
    <row r="36" spans="1:12" s="5" customFormat="1" ht="18.899999999999999" customHeight="1">
      <c r="A36" s="33"/>
      <c r="B36" s="33">
        <v>23</v>
      </c>
      <c r="C36" s="129"/>
      <c r="D36" s="129"/>
      <c r="E36" s="129"/>
      <c r="F36" s="40">
        <f>2000</f>
        <v>2000</v>
      </c>
      <c r="G36" s="129"/>
      <c r="H36" s="36" t="s">
        <v>67</v>
      </c>
      <c r="I36" s="37" t="s">
        <v>35</v>
      </c>
      <c r="J36" s="33"/>
    </row>
    <row r="37" spans="1:12" s="5" customFormat="1" ht="18.899999999999999" customHeight="1">
      <c r="A37" s="33"/>
      <c r="B37" s="33">
        <v>24</v>
      </c>
      <c r="C37" s="129" t="s">
        <v>59</v>
      </c>
      <c r="D37" s="129"/>
      <c r="E37" s="129"/>
      <c r="F37" s="40">
        <v>1400</v>
      </c>
      <c r="G37" s="129" t="s">
        <v>56</v>
      </c>
      <c r="H37" s="36" t="s">
        <v>60</v>
      </c>
      <c r="I37" s="37" t="s">
        <v>35</v>
      </c>
      <c r="J37" s="33"/>
    </row>
    <row r="38" spans="1:12" s="5" customFormat="1" ht="18.899999999999999" customHeight="1">
      <c r="A38" s="33"/>
      <c r="B38" s="33">
        <v>25</v>
      </c>
      <c r="C38" s="129"/>
      <c r="D38" s="129"/>
      <c r="E38" s="129"/>
      <c r="F38" s="40">
        <v>1400</v>
      </c>
      <c r="G38" s="129"/>
      <c r="H38" s="36" t="s">
        <v>64</v>
      </c>
      <c r="I38" s="37" t="s">
        <v>35</v>
      </c>
      <c r="J38" s="33"/>
    </row>
    <row r="39" spans="1:12" s="5" customFormat="1" ht="18.899999999999999" customHeight="1">
      <c r="A39" s="33"/>
      <c r="B39" s="33">
        <v>26</v>
      </c>
      <c r="C39" s="129" t="s">
        <v>12</v>
      </c>
      <c r="D39" s="129"/>
      <c r="E39" s="129"/>
      <c r="F39" s="40">
        <v>13570</v>
      </c>
      <c r="G39" s="33" t="s">
        <v>56</v>
      </c>
      <c r="H39" s="36" t="s">
        <v>58</v>
      </c>
      <c r="I39" s="7" t="s">
        <v>69</v>
      </c>
      <c r="J39" s="33"/>
    </row>
    <row r="40" spans="1:12" ht="35.25" customHeight="1">
      <c r="A40" s="135" t="s">
        <v>5</v>
      </c>
      <c r="B40" s="135"/>
      <c r="C40" s="135"/>
      <c r="D40" s="135"/>
      <c r="E40" s="135"/>
      <c r="F40" s="135"/>
      <c r="G40" s="135"/>
      <c r="H40" s="135"/>
      <c r="I40" s="135"/>
      <c r="J40" s="135"/>
      <c r="L40" s="6"/>
    </row>
    <row r="41" spans="1:12" s="5" customFormat="1" ht="5.0999999999999996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</row>
    <row r="42" spans="1:12" s="5" customFormat="1" ht="24" customHeight="1">
      <c r="A42" s="141" t="s">
        <v>50</v>
      </c>
      <c r="B42" s="142"/>
      <c r="C42" s="141" t="s">
        <v>51</v>
      </c>
      <c r="D42" s="142"/>
      <c r="E42" s="141" t="s">
        <v>52</v>
      </c>
      <c r="F42" s="142"/>
      <c r="G42" s="4"/>
      <c r="H42" s="141" t="s">
        <v>49</v>
      </c>
      <c r="I42" s="143"/>
      <c r="J42" s="142"/>
    </row>
    <row r="43" spans="1:12" s="5" customFormat="1" ht="46.5" customHeight="1">
      <c r="A43" s="141"/>
      <c r="B43" s="142"/>
      <c r="C43" s="141"/>
      <c r="D43" s="142"/>
      <c r="E43" s="141"/>
      <c r="F43" s="142"/>
      <c r="H43" s="141"/>
      <c r="I43" s="143"/>
      <c r="J43" s="142"/>
    </row>
  </sheetData>
  <mergeCells count="40">
    <mergeCell ref="A42:B42"/>
    <mergeCell ref="C42:D42"/>
    <mergeCell ref="E42:F42"/>
    <mergeCell ref="H42:J42"/>
    <mergeCell ref="A43:B43"/>
    <mergeCell ref="C43:D43"/>
    <mergeCell ref="E43:F43"/>
    <mergeCell ref="H43:J43"/>
    <mergeCell ref="C27:E29"/>
    <mergeCell ref="G27:G29"/>
    <mergeCell ref="C37:E38"/>
    <mergeCell ref="G37:G38"/>
    <mergeCell ref="A40:J40"/>
    <mergeCell ref="C30:E30"/>
    <mergeCell ref="C31:E36"/>
    <mergeCell ref="G31:G36"/>
    <mergeCell ref="C39:E39"/>
    <mergeCell ref="C14:E19"/>
    <mergeCell ref="G14:G19"/>
    <mergeCell ref="C20:E21"/>
    <mergeCell ref="C23:E26"/>
    <mergeCell ref="G23:G26"/>
    <mergeCell ref="C22:E22"/>
    <mergeCell ref="G20:G21"/>
    <mergeCell ref="A10:J11"/>
    <mergeCell ref="A12:J12"/>
    <mergeCell ref="C13:E13"/>
    <mergeCell ref="A6:G7"/>
    <mergeCell ref="H6:H7"/>
    <mergeCell ref="I6:J7"/>
    <mergeCell ref="A8:G9"/>
    <mergeCell ref="H8:H9"/>
    <mergeCell ref="I8:J9"/>
    <mergeCell ref="A1:J1"/>
    <mergeCell ref="A2:G3"/>
    <mergeCell ref="H2:H3"/>
    <mergeCell ref="I2:J3"/>
    <mergeCell ref="A4:G5"/>
    <mergeCell ref="H4:H5"/>
    <mergeCell ref="I4:J5"/>
  </mergeCells>
  <printOptions horizontalCentered="1"/>
  <pageMargins left="0.39370078740157483" right="0.39370078740157483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rightToLeft="1" topLeftCell="A16" zoomScale="112" zoomScaleNormal="112" workbookViewId="0">
      <selection activeCell="A12" sqref="A1:J24"/>
    </sheetView>
  </sheetViews>
  <sheetFormatPr defaultColWidth="9" defaultRowHeight="15"/>
  <cols>
    <col min="1" max="1" width="5.5546875" style="1" customWidth="1"/>
    <col min="2" max="2" width="6.5546875" style="1" customWidth="1"/>
    <col min="3" max="5" width="8.5546875" style="1" customWidth="1"/>
    <col min="6" max="8" width="9.5546875" style="1" customWidth="1"/>
    <col min="9" max="9" width="17.5546875" style="1" customWidth="1"/>
    <col min="10" max="10" width="5.33203125" style="1" customWidth="1"/>
    <col min="11" max="16384" width="9" style="1"/>
  </cols>
  <sheetData>
    <row r="1" spans="1:10" ht="31.5" customHeight="1">
      <c r="A1" s="139" t="s">
        <v>182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6" customHeight="1">
      <c r="A2" s="131" t="s">
        <v>171</v>
      </c>
      <c r="B2" s="131"/>
      <c r="C2" s="131"/>
      <c r="D2" s="131"/>
      <c r="E2" s="131"/>
      <c r="F2" s="131"/>
      <c r="G2" s="131"/>
      <c r="H2" s="132" t="s">
        <v>7</v>
      </c>
      <c r="I2" s="130"/>
      <c r="J2" s="130"/>
    </row>
    <row r="3" spans="1:10" ht="12.6" customHeight="1">
      <c r="A3" s="131"/>
      <c r="B3" s="131"/>
      <c r="C3" s="131"/>
      <c r="D3" s="131"/>
      <c r="E3" s="131"/>
      <c r="F3" s="131"/>
      <c r="G3" s="131"/>
      <c r="H3" s="132"/>
      <c r="I3" s="130"/>
      <c r="J3" s="130"/>
    </row>
    <row r="4" spans="1:10" ht="12.6" customHeight="1">
      <c r="A4" s="131" t="s">
        <v>172</v>
      </c>
      <c r="B4" s="131"/>
      <c r="C4" s="131"/>
      <c r="D4" s="131"/>
      <c r="E4" s="131"/>
      <c r="F4" s="131"/>
      <c r="G4" s="131"/>
      <c r="H4" s="132" t="s">
        <v>37</v>
      </c>
      <c r="I4" s="130"/>
      <c r="J4" s="130"/>
    </row>
    <row r="5" spans="1:10" ht="12.6" customHeight="1">
      <c r="A5" s="131"/>
      <c r="B5" s="131"/>
      <c r="C5" s="131"/>
      <c r="D5" s="131"/>
      <c r="E5" s="131"/>
      <c r="F5" s="131"/>
      <c r="G5" s="131"/>
      <c r="H5" s="132"/>
      <c r="I5" s="130"/>
      <c r="J5" s="130"/>
    </row>
    <row r="6" spans="1:10" ht="12.6" customHeight="1">
      <c r="A6" s="131" t="s">
        <v>173</v>
      </c>
      <c r="B6" s="131"/>
      <c r="C6" s="131"/>
      <c r="D6" s="131"/>
      <c r="E6" s="131"/>
      <c r="F6" s="131"/>
      <c r="G6" s="131"/>
      <c r="H6" s="132" t="s">
        <v>38</v>
      </c>
      <c r="I6" s="133"/>
      <c r="J6" s="140"/>
    </row>
    <row r="7" spans="1:10" ht="12.6" customHeight="1">
      <c r="A7" s="131"/>
      <c r="B7" s="131"/>
      <c r="C7" s="131"/>
      <c r="D7" s="131"/>
      <c r="E7" s="131"/>
      <c r="F7" s="131"/>
      <c r="G7" s="131"/>
      <c r="H7" s="132"/>
      <c r="I7" s="140"/>
      <c r="J7" s="140"/>
    </row>
    <row r="8" spans="1:10" ht="12.6" customHeight="1">
      <c r="A8" s="131" t="s">
        <v>174</v>
      </c>
      <c r="B8" s="131"/>
      <c r="C8" s="131"/>
      <c r="D8" s="131"/>
      <c r="E8" s="131"/>
      <c r="F8" s="131"/>
      <c r="G8" s="131"/>
      <c r="H8" s="132" t="s">
        <v>0</v>
      </c>
      <c r="I8" s="133"/>
      <c r="J8" s="140"/>
    </row>
    <row r="9" spans="1:10" ht="12.6" customHeight="1">
      <c r="A9" s="131"/>
      <c r="B9" s="131"/>
      <c r="C9" s="131"/>
      <c r="D9" s="131"/>
      <c r="E9" s="131"/>
      <c r="F9" s="131"/>
      <c r="G9" s="131"/>
      <c r="H9" s="132"/>
      <c r="I9" s="140"/>
      <c r="J9" s="140"/>
    </row>
    <row r="10" spans="1:10" ht="12.6" customHeight="1">
      <c r="A10" s="131" t="s">
        <v>39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6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64.2" customHeight="1">
      <c r="A12" s="134" t="s">
        <v>183</v>
      </c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ht="24.9" customHeight="1">
      <c r="A13" s="31"/>
      <c r="B13" s="149" t="s">
        <v>75</v>
      </c>
      <c r="C13" s="149"/>
      <c r="D13" s="149"/>
      <c r="E13" s="149"/>
      <c r="F13" s="149"/>
      <c r="G13" s="149"/>
      <c r="H13" s="149"/>
      <c r="I13" s="149"/>
      <c r="J13" s="31"/>
    </row>
    <row r="14" spans="1:10" ht="27.6" customHeight="1">
      <c r="A14" s="31"/>
      <c r="B14" s="32" t="s">
        <v>6</v>
      </c>
      <c r="C14" s="130" t="s">
        <v>1</v>
      </c>
      <c r="D14" s="130"/>
      <c r="E14" s="130"/>
      <c r="F14" s="32" t="s">
        <v>2</v>
      </c>
      <c r="G14" s="32" t="s">
        <v>3</v>
      </c>
      <c r="H14" s="32" t="s">
        <v>4</v>
      </c>
      <c r="I14" s="32" t="s">
        <v>9</v>
      </c>
      <c r="J14" s="31"/>
    </row>
    <row r="15" spans="1:10" s="5" customFormat="1" ht="24.9" customHeight="1">
      <c r="A15" s="33"/>
      <c r="B15" s="33">
        <v>1</v>
      </c>
      <c r="C15" s="129" t="s">
        <v>53</v>
      </c>
      <c r="D15" s="129"/>
      <c r="E15" s="129"/>
      <c r="F15" s="125">
        <v>1500</v>
      </c>
      <c r="G15" s="33" t="s">
        <v>8</v>
      </c>
      <c r="H15" s="120" t="s">
        <v>43</v>
      </c>
      <c r="I15" s="37" t="s">
        <v>30</v>
      </c>
      <c r="J15" s="33"/>
    </row>
    <row r="16" spans="1:10" ht="24.9" customHeight="1">
      <c r="A16" s="31"/>
      <c r="B16" s="149" t="s">
        <v>76</v>
      </c>
      <c r="C16" s="149"/>
      <c r="D16" s="149"/>
      <c r="E16" s="149"/>
      <c r="F16" s="149"/>
      <c r="G16" s="149"/>
      <c r="H16" s="149"/>
      <c r="I16" s="149"/>
      <c r="J16" s="31"/>
    </row>
    <row r="17" spans="1:12" ht="27.6" customHeight="1">
      <c r="A17" s="31"/>
      <c r="B17" s="32" t="s">
        <v>6</v>
      </c>
      <c r="C17" s="130" t="s">
        <v>1</v>
      </c>
      <c r="D17" s="130"/>
      <c r="E17" s="130"/>
      <c r="F17" s="32" t="s">
        <v>2</v>
      </c>
      <c r="G17" s="32" t="s">
        <v>3</v>
      </c>
      <c r="H17" s="32" t="s">
        <v>4</v>
      </c>
      <c r="I17" s="32" t="s">
        <v>9</v>
      </c>
      <c r="J17" s="31"/>
    </row>
    <row r="18" spans="1:12" s="5" customFormat="1" ht="24.9" customHeight="1">
      <c r="A18" s="33"/>
      <c r="B18" s="33">
        <v>1</v>
      </c>
      <c r="C18" s="129" t="s">
        <v>28</v>
      </c>
      <c r="D18" s="129"/>
      <c r="E18" s="129"/>
      <c r="F18" s="39">
        <f>0.15*0.15*0.008*7850*100</f>
        <v>141.29999999999998</v>
      </c>
      <c r="G18" s="129" t="s">
        <v>23</v>
      </c>
      <c r="H18" s="147" t="s">
        <v>70</v>
      </c>
      <c r="I18" s="148" t="s">
        <v>30</v>
      </c>
      <c r="J18" s="33"/>
    </row>
    <row r="19" spans="1:12" s="5" customFormat="1" ht="24.9" customHeight="1">
      <c r="A19" s="33"/>
      <c r="B19" s="33">
        <v>2</v>
      </c>
      <c r="C19" s="129"/>
      <c r="D19" s="129"/>
      <c r="E19" s="129"/>
      <c r="F19" s="39">
        <f>0.25*0.15*0.008*7850*100</f>
        <v>235.5</v>
      </c>
      <c r="G19" s="129"/>
      <c r="H19" s="147"/>
      <c r="I19" s="148"/>
      <c r="J19" s="33"/>
    </row>
    <row r="20" spans="1:12" s="5" customFormat="1" ht="24.9" customHeight="1">
      <c r="A20" s="33"/>
      <c r="B20" s="33">
        <v>3</v>
      </c>
      <c r="C20" s="129"/>
      <c r="D20" s="129"/>
      <c r="E20" s="129"/>
      <c r="F20" s="39">
        <f>0.3*0.2*0.008*7850*100</f>
        <v>376.8</v>
      </c>
      <c r="G20" s="129"/>
      <c r="H20" s="147"/>
      <c r="I20" s="148"/>
      <c r="J20" s="33"/>
    </row>
    <row r="21" spans="1:12" s="5" customFormat="1" ht="24.9" customHeight="1">
      <c r="A21" s="33"/>
      <c r="B21" s="33">
        <v>4</v>
      </c>
      <c r="C21" s="129" t="s">
        <v>33</v>
      </c>
      <c r="D21" s="129"/>
      <c r="E21" s="129"/>
      <c r="F21" s="121">
        <f>60*40/1000</f>
        <v>2.4</v>
      </c>
      <c r="G21" s="33" t="s">
        <v>22</v>
      </c>
      <c r="H21" s="120" t="s">
        <v>70</v>
      </c>
      <c r="I21" s="37" t="s">
        <v>30</v>
      </c>
      <c r="J21" s="33"/>
    </row>
    <row r="22" spans="1:12" s="5" customFormat="1" ht="24.9" customHeight="1">
      <c r="A22" s="33"/>
      <c r="B22" s="33">
        <v>5</v>
      </c>
      <c r="C22" s="129" t="s">
        <v>57</v>
      </c>
      <c r="D22" s="129"/>
      <c r="E22" s="129"/>
      <c r="F22" s="40">
        <v>2000</v>
      </c>
      <c r="G22" s="129" t="s">
        <v>56</v>
      </c>
      <c r="H22" s="120" t="s">
        <v>70</v>
      </c>
      <c r="I22" s="37" t="s">
        <v>71</v>
      </c>
      <c r="J22" s="33"/>
    </row>
    <row r="23" spans="1:12" s="5" customFormat="1" ht="24.9" customHeight="1">
      <c r="A23" s="33"/>
      <c r="B23" s="33">
        <v>6</v>
      </c>
      <c r="C23" s="129"/>
      <c r="D23" s="129"/>
      <c r="E23" s="129"/>
      <c r="F23" s="40">
        <v>2000</v>
      </c>
      <c r="G23" s="129"/>
      <c r="H23" s="120" t="s">
        <v>74</v>
      </c>
      <c r="I23" s="37" t="s">
        <v>71</v>
      </c>
      <c r="J23" s="33"/>
    </row>
    <row r="24" spans="1:12" s="5" customFormat="1" ht="24.9" customHeight="1">
      <c r="A24" s="33"/>
      <c r="B24" s="33">
        <v>7</v>
      </c>
      <c r="C24" s="129" t="s">
        <v>17</v>
      </c>
      <c r="D24" s="129"/>
      <c r="E24" s="129"/>
      <c r="F24" s="39">
        <f>(25550/1850)</f>
        <v>13.810810810810811</v>
      </c>
      <c r="G24" s="33" t="s">
        <v>41</v>
      </c>
      <c r="H24" s="120" t="s">
        <v>74</v>
      </c>
      <c r="I24" s="37" t="s">
        <v>29</v>
      </c>
      <c r="J24" s="33"/>
    </row>
    <row r="25" spans="1:12">
      <c r="A25" s="2"/>
      <c r="B25" s="12"/>
      <c r="C25" s="12"/>
      <c r="D25" s="12"/>
      <c r="E25" s="12"/>
      <c r="F25" s="12"/>
      <c r="G25" s="12"/>
      <c r="H25" s="12"/>
      <c r="I25" s="12"/>
      <c r="J25" s="3"/>
    </row>
    <row r="26" spans="1:12" ht="83.25" customHeight="1" thickBot="1">
      <c r="A26" s="144" t="s">
        <v>5</v>
      </c>
      <c r="B26" s="145"/>
      <c r="C26" s="145"/>
      <c r="D26" s="145"/>
      <c r="E26" s="145"/>
      <c r="F26" s="145"/>
      <c r="G26" s="145"/>
      <c r="H26" s="145"/>
      <c r="I26" s="145"/>
      <c r="J26" s="146"/>
      <c r="L26" s="6"/>
    </row>
    <row r="34" spans="1:10" s="5" customFormat="1" ht="24" customHeight="1">
      <c r="A34" s="141" t="s">
        <v>50</v>
      </c>
      <c r="B34" s="142"/>
      <c r="C34" s="141" t="s">
        <v>51</v>
      </c>
      <c r="D34" s="142"/>
      <c r="E34" s="141" t="s">
        <v>52</v>
      </c>
      <c r="F34" s="142"/>
      <c r="G34" s="4"/>
      <c r="H34" s="141" t="s">
        <v>49</v>
      </c>
      <c r="I34" s="143"/>
      <c r="J34" s="142"/>
    </row>
    <row r="35" spans="1:10" s="5" customFormat="1" ht="46.5" customHeight="1">
      <c r="A35" s="141"/>
      <c r="B35" s="142"/>
      <c r="C35" s="141"/>
      <c r="D35" s="142"/>
      <c r="E35" s="141"/>
      <c r="F35" s="142"/>
      <c r="H35" s="141"/>
      <c r="I35" s="143"/>
      <c r="J35" s="142"/>
    </row>
  </sheetData>
  <mergeCells count="37">
    <mergeCell ref="A1:J1"/>
    <mergeCell ref="A2:G3"/>
    <mergeCell ref="H2:H3"/>
    <mergeCell ref="I2:J3"/>
    <mergeCell ref="A4:G5"/>
    <mergeCell ref="H4:H5"/>
    <mergeCell ref="I4:J5"/>
    <mergeCell ref="A6:G7"/>
    <mergeCell ref="H6:H7"/>
    <mergeCell ref="I6:J7"/>
    <mergeCell ref="A8:G9"/>
    <mergeCell ref="H8:H9"/>
    <mergeCell ref="I8:J9"/>
    <mergeCell ref="A10:J11"/>
    <mergeCell ref="A12:J12"/>
    <mergeCell ref="C17:E17"/>
    <mergeCell ref="C18:E20"/>
    <mergeCell ref="H18:H20"/>
    <mergeCell ref="I18:I20"/>
    <mergeCell ref="G18:G20"/>
    <mergeCell ref="B16:I16"/>
    <mergeCell ref="C14:E14"/>
    <mergeCell ref="C15:E15"/>
    <mergeCell ref="B13:I13"/>
    <mergeCell ref="H35:J35"/>
    <mergeCell ref="A26:J26"/>
    <mergeCell ref="A34:B34"/>
    <mergeCell ref="C34:D34"/>
    <mergeCell ref="E34:F34"/>
    <mergeCell ref="H34:J34"/>
    <mergeCell ref="C21:E21"/>
    <mergeCell ref="C24:E24"/>
    <mergeCell ref="G22:G23"/>
    <mergeCell ref="C22:E23"/>
    <mergeCell ref="A35:B35"/>
    <mergeCell ref="C35:D35"/>
    <mergeCell ref="E35:F35"/>
  </mergeCells>
  <printOptions horizontalCentered="1"/>
  <pageMargins left="0.39370078740157483" right="0.39370078740157483" top="0.39370078740157483" bottom="0.19685039370078741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rightToLeft="1" zoomScale="112" zoomScaleNormal="112" workbookViewId="0">
      <selection activeCell="A12" sqref="A1:XFD1048576"/>
    </sheetView>
  </sheetViews>
  <sheetFormatPr defaultColWidth="9" defaultRowHeight="18.600000000000001"/>
  <cols>
    <col min="1" max="1" width="5.5546875" style="30" customWidth="1"/>
    <col min="2" max="2" width="6.5546875" style="30" customWidth="1"/>
    <col min="3" max="4" width="8.5546875" style="30" customWidth="1"/>
    <col min="5" max="5" width="10.33203125" style="30" customWidth="1"/>
    <col min="6" max="8" width="9.5546875" style="30" customWidth="1"/>
    <col min="9" max="9" width="17.5546875" style="30" customWidth="1"/>
    <col min="10" max="10" width="5.33203125" style="30" customWidth="1"/>
    <col min="11" max="16384" width="9" style="30"/>
  </cols>
  <sheetData>
    <row r="1" spans="1:10" ht="31.5" customHeight="1">
      <c r="A1" s="139" t="s">
        <v>184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6" customHeight="1">
      <c r="A2" s="131" t="s">
        <v>175</v>
      </c>
      <c r="B2" s="131"/>
      <c r="C2" s="131"/>
      <c r="D2" s="131"/>
      <c r="E2" s="131"/>
      <c r="F2" s="131"/>
      <c r="G2" s="131"/>
      <c r="H2" s="132" t="s">
        <v>7</v>
      </c>
      <c r="I2" s="130"/>
      <c r="J2" s="130"/>
    </row>
    <row r="3" spans="1:10" ht="12.6" customHeight="1">
      <c r="A3" s="131"/>
      <c r="B3" s="131"/>
      <c r="C3" s="131"/>
      <c r="D3" s="131"/>
      <c r="E3" s="131"/>
      <c r="F3" s="131"/>
      <c r="G3" s="131"/>
      <c r="H3" s="132"/>
      <c r="I3" s="130"/>
      <c r="J3" s="130"/>
    </row>
    <row r="4" spans="1:10" ht="12.6" customHeight="1">
      <c r="A4" s="131" t="s">
        <v>172</v>
      </c>
      <c r="B4" s="131"/>
      <c r="C4" s="131"/>
      <c r="D4" s="131"/>
      <c r="E4" s="131"/>
      <c r="F4" s="131"/>
      <c r="G4" s="131"/>
      <c r="H4" s="132" t="s">
        <v>37</v>
      </c>
      <c r="I4" s="130"/>
      <c r="J4" s="130"/>
    </row>
    <row r="5" spans="1:10" ht="12.6" customHeight="1">
      <c r="A5" s="131"/>
      <c r="B5" s="131"/>
      <c r="C5" s="131"/>
      <c r="D5" s="131"/>
      <c r="E5" s="131"/>
      <c r="F5" s="131"/>
      <c r="G5" s="131"/>
      <c r="H5" s="132"/>
      <c r="I5" s="130"/>
      <c r="J5" s="130"/>
    </row>
    <row r="6" spans="1:10" ht="12.6" customHeight="1">
      <c r="A6" s="131" t="s">
        <v>176</v>
      </c>
      <c r="B6" s="131"/>
      <c r="C6" s="131"/>
      <c r="D6" s="131"/>
      <c r="E6" s="131"/>
      <c r="F6" s="131"/>
      <c r="G6" s="131"/>
      <c r="H6" s="132" t="s">
        <v>38</v>
      </c>
      <c r="I6" s="133"/>
      <c r="J6" s="140"/>
    </row>
    <row r="7" spans="1:10" ht="12.6" customHeight="1">
      <c r="A7" s="131"/>
      <c r="B7" s="131"/>
      <c r="C7" s="131"/>
      <c r="D7" s="131"/>
      <c r="E7" s="131"/>
      <c r="F7" s="131"/>
      <c r="G7" s="131"/>
      <c r="H7" s="132"/>
      <c r="I7" s="140"/>
      <c r="J7" s="140"/>
    </row>
    <row r="8" spans="1:10" ht="12.6" customHeight="1">
      <c r="A8" s="131" t="s">
        <v>174</v>
      </c>
      <c r="B8" s="131"/>
      <c r="C8" s="131"/>
      <c r="D8" s="131"/>
      <c r="E8" s="131"/>
      <c r="F8" s="131"/>
      <c r="G8" s="131"/>
      <c r="H8" s="132" t="s">
        <v>0</v>
      </c>
      <c r="I8" s="133"/>
      <c r="J8" s="140"/>
    </row>
    <row r="9" spans="1:10" ht="12.6" customHeight="1">
      <c r="A9" s="131"/>
      <c r="B9" s="131"/>
      <c r="C9" s="131"/>
      <c r="D9" s="131"/>
      <c r="E9" s="131"/>
      <c r="F9" s="131"/>
      <c r="G9" s="131"/>
      <c r="H9" s="132"/>
      <c r="I9" s="140"/>
      <c r="J9" s="140"/>
    </row>
    <row r="10" spans="1:10" ht="12.6" customHeight="1">
      <c r="A10" s="131" t="s">
        <v>39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12.6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61.8" customHeight="1">
      <c r="A12" s="134" t="s">
        <v>185</v>
      </c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ht="27.6" customHeight="1">
      <c r="A13" s="31"/>
      <c r="B13" s="32" t="s">
        <v>6</v>
      </c>
      <c r="C13" s="130" t="s">
        <v>1</v>
      </c>
      <c r="D13" s="130"/>
      <c r="E13" s="130"/>
      <c r="F13" s="32" t="s">
        <v>2</v>
      </c>
      <c r="G13" s="32" t="s">
        <v>3</v>
      </c>
      <c r="H13" s="32" t="s">
        <v>4</v>
      </c>
      <c r="I13" s="32" t="s">
        <v>9</v>
      </c>
      <c r="J13" s="31"/>
    </row>
    <row r="14" spans="1:10" s="38" customFormat="1" ht="24.9" customHeight="1">
      <c r="A14" s="33"/>
      <c r="B14" s="129">
        <v>1</v>
      </c>
      <c r="C14" s="129" t="s">
        <v>17</v>
      </c>
      <c r="D14" s="129"/>
      <c r="E14" s="129"/>
      <c r="F14" s="39">
        <f>(26040/1850)</f>
        <v>14.075675675675676</v>
      </c>
      <c r="G14" s="129" t="s">
        <v>41</v>
      </c>
      <c r="H14" s="120" t="s">
        <v>93</v>
      </c>
      <c r="I14" s="148" t="s">
        <v>29</v>
      </c>
      <c r="J14" s="33"/>
    </row>
    <row r="15" spans="1:10" s="38" customFormat="1" ht="24.9" customHeight="1">
      <c r="A15" s="33"/>
      <c r="B15" s="129"/>
      <c r="C15" s="129"/>
      <c r="D15" s="129"/>
      <c r="E15" s="129"/>
      <c r="F15" s="39">
        <f>(26230/1850)</f>
        <v>14.178378378378378</v>
      </c>
      <c r="G15" s="129"/>
      <c r="H15" s="120" t="s">
        <v>94</v>
      </c>
      <c r="I15" s="148"/>
      <c r="J15" s="33"/>
    </row>
    <row r="16" spans="1:10" s="38" customFormat="1" ht="24.9" customHeight="1">
      <c r="A16" s="33"/>
      <c r="B16" s="129"/>
      <c r="C16" s="129"/>
      <c r="D16" s="129"/>
      <c r="E16" s="129"/>
      <c r="F16" s="39">
        <f>(25860/1850)</f>
        <v>13.978378378378379</v>
      </c>
      <c r="G16" s="129"/>
      <c r="H16" s="120" t="s">
        <v>95</v>
      </c>
      <c r="I16" s="148"/>
      <c r="J16" s="33"/>
    </row>
    <row r="17" spans="1:12" s="38" customFormat="1" ht="20.25" customHeight="1">
      <c r="A17" s="33"/>
      <c r="B17" s="129"/>
      <c r="C17" s="129"/>
      <c r="D17" s="129"/>
      <c r="E17" s="129"/>
      <c r="F17" s="39">
        <f>(26711/1850)</f>
        <v>14.438378378378378</v>
      </c>
      <c r="G17" s="129"/>
      <c r="H17" s="120" t="s">
        <v>96</v>
      </c>
      <c r="I17" s="148"/>
      <c r="J17" s="33"/>
    </row>
    <row r="18" spans="1:12" s="38" customFormat="1" ht="20.25" customHeight="1">
      <c r="A18" s="33"/>
      <c r="B18" s="129"/>
      <c r="C18" s="129"/>
      <c r="D18" s="129"/>
      <c r="E18" s="129"/>
      <c r="F18" s="39">
        <f>(24900/1850)</f>
        <v>13.45945945945946</v>
      </c>
      <c r="G18" s="129"/>
      <c r="H18" s="120" t="s">
        <v>96</v>
      </c>
      <c r="I18" s="148"/>
      <c r="J18" s="33"/>
    </row>
    <row r="19" spans="1:12" s="38" customFormat="1" ht="20.25" customHeight="1">
      <c r="A19" s="33"/>
      <c r="B19" s="129"/>
      <c r="C19" s="129"/>
      <c r="D19" s="129"/>
      <c r="E19" s="129"/>
      <c r="F19" s="39">
        <f>(26200/1850)</f>
        <v>14.162162162162161</v>
      </c>
      <c r="G19" s="129"/>
      <c r="H19" s="120" t="s">
        <v>97</v>
      </c>
      <c r="I19" s="148"/>
      <c r="J19" s="33"/>
    </row>
    <row r="20" spans="1:12" s="38" customFormat="1" ht="20.25" customHeight="1">
      <c r="A20" s="33"/>
      <c r="B20" s="129"/>
      <c r="C20" s="129"/>
      <c r="D20" s="129"/>
      <c r="E20" s="129"/>
      <c r="F20" s="39">
        <f>(41480/1850)</f>
        <v>22.421621621621622</v>
      </c>
      <c r="G20" s="129"/>
      <c r="H20" s="120" t="s">
        <v>98</v>
      </c>
      <c r="I20" s="148"/>
      <c r="J20" s="33"/>
    </row>
    <row r="21" spans="1:12" s="38" customFormat="1" ht="20.25" customHeight="1">
      <c r="A21" s="33"/>
      <c r="B21" s="129"/>
      <c r="C21" s="129"/>
      <c r="D21" s="129"/>
      <c r="E21" s="129"/>
      <c r="F21" s="39">
        <f>(30200/1850)</f>
        <v>16.324324324324323</v>
      </c>
      <c r="G21" s="129"/>
      <c r="H21" s="120" t="s">
        <v>99</v>
      </c>
      <c r="I21" s="148"/>
      <c r="J21" s="33"/>
    </row>
    <row r="22" spans="1:12" s="38" customFormat="1" ht="20.25" customHeight="1">
      <c r="A22" s="33"/>
      <c r="B22" s="129"/>
      <c r="C22" s="129"/>
      <c r="D22" s="129"/>
      <c r="E22" s="129"/>
      <c r="F22" s="39">
        <f>(26820/1850)</f>
        <v>14.497297297297298</v>
      </c>
      <c r="G22" s="129"/>
      <c r="H22" s="120" t="s">
        <v>100</v>
      </c>
      <c r="I22" s="148"/>
      <c r="J22" s="33"/>
    </row>
    <row r="23" spans="1:12" s="38" customFormat="1" ht="20.25" customHeight="1">
      <c r="A23" s="33"/>
      <c r="B23" s="129"/>
      <c r="C23" s="129"/>
      <c r="D23" s="129"/>
      <c r="E23" s="129"/>
      <c r="F23" s="39">
        <f>(27320/1850)</f>
        <v>14.767567567567568</v>
      </c>
      <c r="G23" s="129"/>
      <c r="H23" s="120" t="s">
        <v>101</v>
      </c>
      <c r="I23" s="148"/>
      <c r="J23" s="33"/>
    </row>
    <row r="24" spans="1:12" s="38" customFormat="1" ht="20.25" customHeight="1">
      <c r="A24" s="33"/>
      <c r="B24" s="33">
        <v>2</v>
      </c>
      <c r="C24" s="129" t="s">
        <v>34</v>
      </c>
      <c r="D24" s="129"/>
      <c r="E24" s="129"/>
      <c r="F24" s="124">
        <v>9630</v>
      </c>
      <c r="G24" s="33" t="s">
        <v>23</v>
      </c>
      <c r="H24" s="36" t="s">
        <v>77</v>
      </c>
      <c r="I24" s="37" t="s">
        <v>68</v>
      </c>
      <c r="J24" s="33"/>
    </row>
    <row r="25" spans="1:12" s="38" customFormat="1" ht="20.25" customHeight="1">
      <c r="A25" s="33"/>
      <c r="B25" s="33">
        <v>3</v>
      </c>
      <c r="C25" s="129" t="s">
        <v>57</v>
      </c>
      <c r="D25" s="129"/>
      <c r="E25" s="129"/>
      <c r="F25" s="40">
        <v>1300</v>
      </c>
      <c r="G25" s="129" t="s">
        <v>56</v>
      </c>
      <c r="H25" s="128" t="s">
        <v>106</v>
      </c>
      <c r="I25" s="37" t="s">
        <v>68</v>
      </c>
      <c r="J25" s="33"/>
    </row>
    <row r="26" spans="1:12" s="38" customFormat="1" ht="20.25" customHeight="1">
      <c r="A26" s="33"/>
      <c r="B26" s="33">
        <v>5</v>
      </c>
      <c r="C26" s="129" t="s">
        <v>102</v>
      </c>
      <c r="D26" s="129"/>
      <c r="E26" s="129"/>
      <c r="F26" s="40">
        <v>10000</v>
      </c>
      <c r="G26" s="129"/>
      <c r="H26" s="128" t="s">
        <v>107</v>
      </c>
      <c r="I26" s="37" t="s">
        <v>29</v>
      </c>
      <c r="J26" s="33"/>
    </row>
    <row r="27" spans="1:12" s="38" customFormat="1" ht="19.5" customHeight="1">
      <c r="A27" s="33"/>
      <c r="B27" s="33">
        <v>6</v>
      </c>
      <c r="C27" s="129" t="s">
        <v>103</v>
      </c>
      <c r="D27" s="129"/>
      <c r="E27" s="129"/>
      <c r="F27" s="124">
        <f>50*5.5</f>
        <v>275</v>
      </c>
      <c r="G27" s="129" t="s">
        <v>23</v>
      </c>
      <c r="H27" s="128" t="s">
        <v>107</v>
      </c>
      <c r="I27" s="37" t="s">
        <v>68</v>
      </c>
      <c r="J27" s="33"/>
    </row>
    <row r="28" spans="1:12" s="38" customFormat="1" ht="18.75" customHeight="1">
      <c r="A28" s="33"/>
      <c r="B28" s="33">
        <v>7</v>
      </c>
      <c r="C28" s="129" t="s">
        <v>104</v>
      </c>
      <c r="D28" s="129"/>
      <c r="E28" s="129"/>
      <c r="F28" s="124">
        <v>23970</v>
      </c>
      <c r="G28" s="129"/>
      <c r="H28" s="36" t="s">
        <v>96</v>
      </c>
      <c r="I28" s="37" t="s">
        <v>105</v>
      </c>
      <c r="J28" s="33"/>
    </row>
    <row r="29" spans="1:12">
      <c r="A29" s="31"/>
      <c r="B29" s="33">
        <v>8</v>
      </c>
      <c r="C29" s="129" t="s">
        <v>104</v>
      </c>
      <c r="D29" s="129"/>
      <c r="E29" s="129"/>
      <c r="F29" s="124">
        <v>23960</v>
      </c>
      <c r="G29" s="129"/>
      <c r="H29" s="36" t="s">
        <v>99</v>
      </c>
      <c r="I29" s="37" t="s">
        <v>105</v>
      </c>
      <c r="J29" s="31"/>
    </row>
    <row r="30" spans="1:12" ht="83.25" customHeight="1">
      <c r="A30" s="135" t="s">
        <v>5</v>
      </c>
      <c r="B30" s="135"/>
      <c r="C30" s="135"/>
      <c r="D30" s="135"/>
      <c r="E30" s="135"/>
      <c r="F30" s="135"/>
      <c r="G30" s="135"/>
      <c r="H30" s="135"/>
      <c r="I30" s="135"/>
      <c r="J30" s="135"/>
      <c r="L30" s="42"/>
    </row>
    <row r="32" spans="1:12" ht="41.25" customHeight="1"/>
    <row r="33" spans="1:10" s="38" customFormat="1">
      <c r="A33" s="136" t="s">
        <v>50</v>
      </c>
      <c r="B33" s="138"/>
      <c r="C33" s="136" t="s">
        <v>51</v>
      </c>
      <c r="D33" s="138"/>
      <c r="E33" s="136" t="s">
        <v>52</v>
      </c>
      <c r="F33" s="138"/>
      <c r="G33" s="44"/>
      <c r="H33" s="136" t="s">
        <v>49</v>
      </c>
      <c r="I33" s="137"/>
      <c r="J33" s="138"/>
    </row>
    <row r="34" spans="1:10" s="38" customFormat="1" ht="59.25" customHeight="1">
      <c r="A34" s="136"/>
      <c r="B34" s="138"/>
      <c r="C34" s="136"/>
      <c r="D34" s="138"/>
      <c r="E34" s="136"/>
      <c r="F34" s="138"/>
      <c r="H34" s="136"/>
      <c r="I34" s="137"/>
      <c r="J34" s="138"/>
    </row>
  </sheetData>
  <mergeCells count="37">
    <mergeCell ref="A34:B34"/>
    <mergeCell ref="C34:D34"/>
    <mergeCell ref="E34:F34"/>
    <mergeCell ref="H34:J34"/>
    <mergeCell ref="G27:G29"/>
    <mergeCell ref="C28:E28"/>
    <mergeCell ref="C29:E29"/>
    <mergeCell ref="A30:J30"/>
    <mergeCell ref="A33:B33"/>
    <mergeCell ref="C33:D33"/>
    <mergeCell ref="E33:F33"/>
    <mergeCell ref="H33:J33"/>
    <mergeCell ref="A1:J1"/>
    <mergeCell ref="A2:G3"/>
    <mergeCell ref="H2:H3"/>
    <mergeCell ref="I2:J3"/>
    <mergeCell ref="A4:G5"/>
    <mergeCell ref="H4:H5"/>
    <mergeCell ref="I4:J5"/>
    <mergeCell ref="A6:G7"/>
    <mergeCell ref="H6:H7"/>
    <mergeCell ref="I6:J7"/>
    <mergeCell ref="A8:G9"/>
    <mergeCell ref="H8:H9"/>
    <mergeCell ref="I8:J9"/>
    <mergeCell ref="I14:I23"/>
    <mergeCell ref="C24:E24"/>
    <mergeCell ref="C13:E13"/>
    <mergeCell ref="A10:J11"/>
    <mergeCell ref="A12:J12"/>
    <mergeCell ref="C25:E25"/>
    <mergeCell ref="G25:G26"/>
    <mergeCell ref="C26:E26"/>
    <mergeCell ref="C27:E27"/>
    <mergeCell ref="B14:B23"/>
    <mergeCell ref="C14:E23"/>
    <mergeCell ref="G14:G23"/>
  </mergeCells>
  <printOptions horizontalCentered="1"/>
  <pageMargins left="0.39370078740157483" right="0.39370078740157483" top="0.39370078740157483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rightToLeft="1" topLeftCell="A50" zoomScale="112" zoomScaleNormal="112" workbookViewId="0">
      <selection activeCell="F62" sqref="A1:XFD1048576"/>
    </sheetView>
  </sheetViews>
  <sheetFormatPr defaultColWidth="9" defaultRowHeight="18.600000000000001"/>
  <cols>
    <col min="1" max="1" width="5.5546875" style="30" customWidth="1"/>
    <col min="2" max="2" width="6.5546875" style="30" customWidth="1"/>
    <col min="3" max="5" width="8.5546875" style="30" customWidth="1"/>
    <col min="6" max="8" width="9.5546875" style="30" customWidth="1"/>
    <col min="9" max="9" width="17.5546875" style="30" customWidth="1"/>
    <col min="10" max="10" width="5.33203125" style="30" customWidth="1"/>
    <col min="11" max="16384" width="9" style="30"/>
  </cols>
  <sheetData>
    <row r="1" spans="1:10" ht="26.25" customHeight="1">
      <c r="A1" s="139" t="s">
        <v>186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9.75" customHeight="1">
      <c r="A2" s="131" t="s">
        <v>175</v>
      </c>
      <c r="B2" s="131"/>
      <c r="C2" s="131"/>
      <c r="D2" s="131"/>
      <c r="E2" s="131"/>
      <c r="F2" s="131"/>
      <c r="G2" s="131"/>
      <c r="H2" s="132" t="s">
        <v>7</v>
      </c>
      <c r="I2" s="130"/>
      <c r="J2" s="130"/>
    </row>
    <row r="3" spans="1:10" ht="9.75" customHeight="1">
      <c r="A3" s="131"/>
      <c r="B3" s="131"/>
      <c r="C3" s="131"/>
      <c r="D3" s="131"/>
      <c r="E3" s="131"/>
      <c r="F3" s="131"/>
      <c r="G3" s="131"/>
      <c r="H3" s="132"/>
      <c r="I3" s="130"/>
      <c r="J3" s="130"/>
    </row>
    <row r="4" spans="1:10" ht="9.75" customHeight="1">
      <c r="A4" s="131" t="s">
        <v>172</v>
      </c>
      <c r="B4" s="131"/>
      <c r="C4" s="131"/>
      <c r="D4" s="131"/>
      <c r="E4" s="131"/>
      <c r="F4" s="131"/>
      <c r="G4" s="131"/>
      <c r="H4" s="132" t="s">
        <v>37</v>
      </c>
      <c r="I4" s="130"/>
      <c r="J4" s="130"/>
    </row>
    <row r="5" spans="1:10" ht="9.75" customHeight="1">
      <c r="A5" s="131"/>
      <c r="B5" s="131"/>
      <c r="C5" s="131"/>
      <c r="D5" s="131"/>
      <c r="E5" s="131"/>
      <c r="F5" s="131"/>
      <c r="G5" s="131"/>
      <c r="H5" s="132"/>
      <c r="I5" s="130"/>
      <c r="J5" s="130"/>
    </row>
    <row r="6" spans="1:10" ht="9.75" customHeight="1">
      <c r="A6" s="131" t="s">
        <v>177</v>
      </c>
      <c r="B6" s="131"/>
      <c r="C6" s="131"/>
      <c r="D6" s="131"/>
      <c r="E6" s="131"/>
      <c r="F6" s="131"/>
      <c r="G6" s="131"/>
      <c r="H6" s="132" t="s">
        <v>38</v>
      </c>
      <c r="I6" s="133"/>
      <c r="J6" s="140"/>
    </row>
    <row r="7" spans="1:10" ht="9.75" customHeight="1">
      <c r="A7" s="131"/>
      <c r="B7" s="131"/>
      <c r="C7" s="131"/>
      <c r="D7" s="131"/>
      <c r="E7" s="131"/>
      <c r="F7" s="131"/>
      <c r="G7" s="131"/>
      <c r="H7" s="132"/>
      <c r="I7" s="140"/>
      <c r="J7" s="140"/>
    </row>
    <row r="8" spans="1:10" ht="9.75" customHeight="1">
      <c r="A8" s="131" t="s">
        <v>174</v>
      </c>
      <c r="B8" s="131"/>
      <c r="C8" s="131"/>
      <c r="D8" s="131"/>
      <c r="E8" s="131"/>
      <c r="F8" s="131"/>
      <c r="G8" s="131"/>
      <c r="H8" s="132" t="s">
        <v>0</v>
      </c>
      <c r="I8" s="133"/>
      <c r="J8" s="140"/>
    </row>
    <row r="9" spans="1:10" ht="9.75" customHeight="1">
      <c r="A9" s="131"/>
      <c r="B9" s="131"/>
      <c r="C9" s="131"/>
      <c r="D9" s="131"/>
      <c r="E9" s="131"/>
      <c r="F9" s="131"/>
      <c r="G9" s="131"/>
      <c r="H9" s="132"/>
      <c r="I9" s="140"/>
      <c r="J9" s="140"/>
    </row>
    <row r="10" spans="1:10" ht="9.75" customHeight="1">
      <c r="A10" s="131" t="s">
        <v>39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9.7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57" customHeight="1">
      <c r="A12" s="134" t="s">
        <v>187</v>
      </c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ht="25.5" customHeight="1">
      <c r="A13" s="31"/>
      <c r="B13" s="32" t="s">
        <v>6</v>
      </c>
      <c r="C13" s="130" t="s">
        <v>1</v>
      </c>
      <c r="D13" s="130"/>
      <c r="E13" s="130"/>
      <c r="F13" s="32" t="s">
        <v>2</v>
      </c>
      <c r="G13" s="32" t="s">
        <v>3</v>
      </c>
      <c r="H13" s="32" t="s">
        <v>4</v>
      </c>
      <c r="I13" s="32" t="s">
        <v>9</v>
      </c>
      <c r="J13" s="31"/>
    </row>
    <row r="14" spans="1:10" s="38" customFormat="1" ht="21" customHeight="1">
      <c r="A14" s="33"/>
      <c r="B14" s="33">
        <v>1</v>
      </c>
      <c r="C14" s="129" t="s">
        <v>28</v>
      </c>
      <c r="D14" s="129"/>
      <c r="E14" s="129"/>
      <c r="F14" s="41">
        <v>183</v>
      </c>
      <c r="G14" s="33" t="s">
        <v>23</v>
      </c>
      <c r="H14" s="36" t="s">
        <v>85</v>
      </c>
      <c r="I14" s="37" t="s">
        <v>35</v>
      </c>
      <c r="J14" s="33"/>
    </row>
    <row r="15" spans="1:10" s="38" customFormat="1" ht="21" customHeight="1">
      <c r="A15" s="33"/>
      <c r="B15" s="33">
        <v>2</v>
      </c>
      <c r="C15" s="129" t="s">
        <v>31</v>
      </c>
      <c r="D15" s="129"/>
      <c r="E15" s="129"/>
      <c r="F15" s="35">
        <f>100*50/1000</f>
        <v>5</v>
      </c>
      <c r="G15" s="129" t="s">
        <v>22</v>
      </c>
      <c r="H15" s="36" t="s">
        <v>78</v>
      </c>
      <c r="I15" s="37" t="s">
        <v>30</v>
      </c>
      <c r="J15" s="33"/>
    </row>
    <row r="16" spans="1:10" s="38" customFormat="1" ht="21" customHeight="1">
      <c r="A16" s="33"/>
      <c r="B16" s="33">
        <v>3</v>
      </c>
      <c r="C16" s="129"/>
      <c r="D16" s="129"/>
      <c r="E16" s="129"/>
      <c r="F16" s="35">
        <f>480*50/1000</f>
        <v>24</v>
      </c>
      <c r="G16" s="129"/>
      <c r="H16" s="36" t="s">
        <v>79</v>
      </c>
      <c r="I16" s="37" t="s">
        <v>30</v>
      </c>
      <c r="J16" s="33"/>
    </row>
    <row r="17" spans="1:10" s="38" customFormat="1" ht="21" customHeight="1">
      <c r="A17" s="33"/>
      <c r="B17" s="33">
        <v>4</v>
      </c>
      <c r="C17" s="129"/>
      <c r="D17" s="129"/>
      <c r="E17" s="129"/>
      <c r="F17" s="35">
        <v>22.95</v>
      </c>
      <c r="G17" s="129"/>
      <c r="H17" s="36" t="s">
        <v>88</v>
      </c>
      <c r="I17" s="37" t="s">
        <v>68</v>
      </c>
      <c r="J17" s="33"/>
    </row>
    <row r="18" spans="1:10" s="38" customFormat="1" ht="21" customHeight="1">
      <c r="A18" s="33"/>
      <c r="B18" s="33"/>
      <c r="C18" s="129"/>
      <c r="D18" s="129"/>
      <c r="E18" s="129"/>
      <c r="F18" s="35">
        <v>26.15</v>
      </c>
      <c r="G18" s="129"/>
      <c r="H18" s="36" t="s">
        <v>112</v>
      </c>
      <c r="I18" s="37" t="s">
        <v>40</v>
      </c>
      <c r="J18" s="33"/>
    </row>
    <row r="19" spans="1:10" s="38" customFormat="1" ht="21" customHeight="1">
      <c r="A19" s="33"/>
      <c r="B19" s="33">
        <v>5</v>
      </c>
      <c r="C19" s="129" t="s">
        <v>17</v>
      </c>
      <c r="D19" s="129"/>
      <c r="E19" s="129"/>
      <c r="F19" s="39">
        <f>(27460/1850)</f>
        <v>14.843243243243244</v>
      </c>
      <c r="G19" s="129" t="s">
        <v>41</v>
      </c>
      <c r="H19" s="36" t="s">
        <v>78</v>
      </c>
      <c r="I19" s="37" t="s">
        <v>29</v>
      </c>
      <c r="J19" s="33"/>
    </row>
    <row r="20" spans="1:10" s="38" customFormat="1" ht="21" customHeight="1">
      <c r="A20" s="33"/>
      <c r="B20" s="33">
        <v>6</v>
      </c>
      <c r="C20" s="129"/>
      <c r="D20" s="129"/>
      <c r="E20" s="129"/>
      <c r="F20" s="39">
        <f>(26500/1850)</f>
        <v>14.324324324324325</v>
      </c>
      <c r="G20" s="129"/>
      <c r="H20" s="36" t="s">
        <v>80</v>
      </c>
      <c r="I20" s="37" t="s">
        <v>29</v>
      </c>
      <c r="J20" s="33"/>
    </row>
    <row r="21" spans="1:10" s="38" customFormat="1" ht="21" customHeight="1">
      <c r="A21" s="33"/>
      <c r="B21" s="33">
        <v>7</v>
      </c>
      <c r="C21" s="129"/>
      <c r="D21" s="129"/>
      <c r="E21" s="129"/>
      <c r="F21" s="39">
        <f>(28060/1850)</f>
        <v>15.167567567567568</v>
      </c>
      <c r="G21" s="129"/>
      <c r="H21" s="36" t="s">
        <v>81</v>
      </c>
      <c r="I21" s="37" t="s">
        <v>29</v>
      </c>
      <c r="J21" s="33"/>
    </row>
    <row r="22" spans="1:10" s="38" customFormat="1" ht="21" customHeight="1">
      <c r="A22" s="33"/>
      <c r="B22" s="33">
        <v>8</v>
      </c>
      <c r="C22" s="129"/>
      <c r="D22" s="129"/>
      <c r="E22" s="129"/>
      <c r="F22" s="39">
        <f>(26160/1850)</f>
        <v>14.14054054054054</v>
      </c>
      <c r="G22" s="129"/>
      <c r="H22" s="36" t="s">
        <v>82</v>
      </c>
      <c r="I22" s="37" t="s">
        <v>29</v>
      </c>
      <c r="J22" s="33"/>
    </row>
    <row r="23" spans="1:10" s="38" customFormat="1" ht="21" customHeight="1">
      <c r="A23" s="33"/>
      <c r="B23" s="33">
        <v>9</v>
      </c>
      <c r="C23" s="129"/>
      <c r="D23" s="129"/>
      <c r="E23" s="129"/>
      <c r="F23" s="39">
        <f>(25740/1850)</f>
        <v>13.913513513513514</v>
      </c>
      <c r="G23" s="129"/>
      <c r="H23" s="36" t="s">
        <v>83</v>
      </c>
      <c r="I23" s="37" t="s">
        <v>29</v>
      </c>
      <c r="J23" s="33"/>
    </row>
    <row r="24" spans="1:10" s="38" customFormat="1" ht="21" customHeight="1">
      <c r="A24" s="33"/>
      <c r="B24" s="33">
        <v>10</v>
      </c>
      <c r="C24" s="129"/>
      <c r="D24" s="129"/>
      <c r="E24" s="129"/>
      <c r="F24" s="39">
        <f>(27620/1850)</f>
        <v>14.929729729729729</v>
      </c>
      <c r="G24" s="129"/>
      <c r="H24" s="36" t="s">
        <v>87</v>
      </c>
      <c r="I24" s="37" t="s">
        <v>29</v>
      </c>
      <c r="J24" s="33"/>
    </row>
    <row r="25" spans="1:10" s="38" customFormat="1" ht="21" customHeight="1">
      <c r="A25" s="33"/>
      <c r="B25" s="33">
        <v>11</v>
      </c>
      <c r="C25" s="129"/>
      <c r="D25" s="129"/>
      <c r="E25" s="129"/>
      <c r="F25" s="39">
        <f>(26000/1850)</f>
        <v>14.054054054054054</v>
      </c>
      <c r="G25" s="129"/>
      <c r="H25" s="36" t="s">
        <v>89</v>
      </c>
      <c r="I25" s="37" t="s">
        <v>29</v>
      </c>
      <c r="J25" s="33"/>
    </row>
    <row r="26" spans="1:10" s="38" customFormat="1" ht="21" customHeight="1">
      <c r="A26" s="33"/>
      <c r="B26" s="33">
        <v>12</v>
      </c>
      <c r="C26" s="129"/>
      <c r="D26" s="129"/>
      <c r="E26" s="129"/>
      <c r="F26" s="39">
        <f>(26650/1850)</f>
        <v>14.405405405405405</v>
      </c>
      <c r="G26" s="129"/>
      <c r="H26" s="150" t="s">
        <v>90</v>
      </c>
      <c r="I26" s="37" t="s">
        <v>29</v>
      </c>
      <c r="J26" s="33"/>
    </row>
    <row r="27" spans="1:10" s="38" customFormat="1" ht="21" customHeight="1">
      <c r="A27" s="33"/>
      <c r="B27" s="33">
        <v>13</v>
      </c>
      <c r="C27" s="129"/>
      <c r="D27" s="129"/>
      <c r="E27" s="129"/>
      <c r="F27" s="39">
        <f>(25940/1850)</f>
        <v>14.021621621621621</v>
      </c>
      <c r="G27" s="129"/>
      <c r="H27" s="150"/>
      <c r="I27" s="37" t="s">
        <v>29</v>
      </c>
      <c r="J27" s="33"/>
    </row>
    <row r="28" spans="1:10" s="38" customFormat="1" ht="21" customHeight="1">
      <c r="A28" s="33"/>
      <c r="B28" s="33">
        <v>14</v>
      </c>
      <c r="C28" s="129"/>
      <c r="D28" s="129"/>
      <c r="E28" s="129"/>
      <c r="F28" s="39">
        <f>(27170/1850)</f>
        <v>14.686486486486487</v>
      </c>
      <c r="G28" s="129"/>
      <c r="H28" s="36" t="s">
        <v>91</v>
      </c>
      <c r="I28" s="37" t="s">
        <v>29</v>
      </c>
      <c r="J28" s="33"/>
    </row>
    <row r="29" spans="1:10" s="38" customFormat="1" ht="21" customHeight="1">
      <c r="A29" s="33"/>
      <c r="B29" s="33">
        <v>15</v>
      </c>
      <c r="C29" s="129"/>
      <c r="D29" s="129"/>
      <c r="E29" s="129"/>
      <c r="F29" s="39">
        <f>(26770/1850)</f>
        <v>14.470270270270269</v>
      </c>
      <c r="G29" s="129"/>
      <c r="H29" s="36" t="s">
        <v>92</v>
      </c>
      <c r="I29" s="37" t="s">
        <v>29</v>
      </c>
      <c r="J29" s="33"/>
    </row>
    <row r="30" spans="1:10" s="38" customFormat="1" ht="21" customHeight="1">
      <c r="A30" s="33"/>
      <c r="B30" s="33">
        <v>16</v>
      </c>
      <c r="C30" s="129"/>
      <c r="D30" s="129"/>
      <c r="E30" s="129"/>
      <c r="F30" s="39">
        <f>(26800/1850)</f>
        <v>14.486486486486486</v>
      </c>
      <c r="G30" s="129"/>
      <c r="H30" s="36" t="s">
        <v>110</v>
      </c>
      <c r="I30" s="37" t="s">
        <v>29</v>
      </c>
      <c r="J30" s="33"/>
    </row>
    <row r="31" spans="1:10" s="38" customFormat="1" ht="21" customHeight="1">
      <c r="A31" s="33"/>
      <c r="B31" s="33">
        <v>17</v>
      </c>
      <c r="C31" s="129"/>
      <c r="D31" s="129"/>
      <c r="E31" s="129"/>
      <c r="F31" s="39">
        <f>(27140/1850)</f>
        <v>14.670270270270271</v>
      </c>
      <c r="G31" s="129"/>
      <c r="H31" s="36" t="s">
        <v>111</v>
      </c>
      <c r="I31" s="37" t="s">
        <v>29</v>
      </c>
      <c r="J31" s="33"/>
    </row>
    <row r="32" spans="1:10" s="38" customFormat="1" ht="21" customHeight="1">
      <c r="A32" s="33"/>
      <c r="B32" s="33">
        <v>18</v>
      </c>
      <c r="C32" s="129" t="s">
        <v>59</v>
      </c>
      <c r="D32" s="129"/>
      <c r="E32" s="129"/>
      <c r="F32" s="40">
        <v>1400</v>
      </c>
      <c r="G32" s="33" t="s">
        <v>56</v>
      </c>
      <c r="H32" s="33" t="s">
        <v>83</v>
      </c>
      <c r="I32" s="37" t="s">
        <v>35</v>
      </c>
      <c r="J32" s="33"/>
    </row>
    <row r="33" spans="1:12" s="38" customFormat="1" ht="21" customHeight="1">
      <c r="A33" s="33"/>
      <c r="B33" s="33">
        <v>19</v>
      </c>
      <c r="C33" s="129" t="s">
        <v>57</v>
      </c>
      <c r="D33" s="129"/>
      <c r="E33" s="129"/>
      <c r="F33" s="40">
        <v>2000</v>
      </c>
      <c r="G33" s="33" t="s">
        <v>56</v>
      </c>
      <c r="H33" s="33" t="s">
        <v>84</v>
      </c>
      <c r="I33" s="37" t="s">
        <v>35</v>
      </c>
      <c r="J33" s="33"/>
    </row>
    <row r="34" spans="1:12" s="38" customFormat="1" ht="21" customHeight="1">
      <c r="A34" s="33"/>
      <c r="B34" s="33"/>
      <c r="C34" s="129" t="s">
        <v>57</v>
      </c>
      <c r="D34" s="129"/>
      <c r="E34" s="129"/>
      <c r="F34" s="40">
        <v>2000</v>
      </c>
      <c r="G34" s="33" t="s">
        <v>56</v>
      </c>
      <c r="H34" s="33" t="s">
        <v>113</v>
      </c>
      <c r="I34" s="37" t="s">
        <v>35</v>
      </c>
      <c r="J34" s="33"/>
    </row>
    <row r="35" spans="1:12" s="38" customFormat="1" ht="21" customHeight="1">
      <c r="A35" s="33"/>
      <c r="B35" s="33"/>
      <c r="C35" s="129" t="s">
        <v>114</v>
      </c>
      <c r="D35" s="129"/>
      <c r="E35" s="129"/>
      <c r="F35" s="40">
        <v>10000</v>
      </c>
      <c r="G35" s="33" t="s">
        <v>56</v>
      </c>
      <c r="H35" s="33" t="s">
        <v>115</v>
      </c>
      <c r="I35" s="37" t="s">
        <v>30</v>
      </c>
      <c r="J35" s="33"/>
    </row>
    <row r="36" spans="1:12" s="38" customFormat="1" ht="21" customHeight="1">
      <c r="A36" s="33"/>
      <c r="B36" s="33">
        <v>20</v>
      </c>
      <c r="C36" s="129" t="s">
        <v>33</v>
      </c>
      <c r="D36" s="129"/>
      <c r="E36" s="129"/>
      <c r="F36" s="39">
        <f>8*40/1000</f>
        <v>0.32</v>
      </c>
      <c r="G36" s="33" t="s">
        <v>22</v>
      </c>
      <c r="H36" s="33" t="s">
        <v>78</v>
      </c>
      <c r="I36" s="37" t="s">
        <v>30</v>
      </c>
      <c r="J36" s="33"/>
    </row>
    <row r="37" spans="1:12" s="38" customFormat="1" ht="21" customHeight="1">
      <c r="A37" s="33"/>
      <c r="B37" s="33">
        <v>23</v>
      </c>
      <c r="C37" s="129" t="s">
        <v>86</v>
      </c>
      <c r="D37" s="129"/>
      <c r="E37" s="129"/>
      <c r="F37" s="41">
        <f>((12*12)/162)*50*12</f>
        <v>533.33333333333326</v>
      </c>
      <c r="G37" s="33" t="s">
        <v>23</v>
      </c>
      <c r="H37" s="36" t="s">
        <v>85</v>
      </c>
      <c r="I37" s="37" t="s">
        <v>30</v>
      </c>
      <c r="J37" s="33"/>
    </row>
    <row r="38" spans="1:12" ht="39" customHeight="1">
      <c r="A38" s="135" t="s">
        <v>5</v>
      </c>
      <c r="B38" s="135"/>
      <c r="C38" s="135"/>
      <c r="D38" s="135"/>
      <c r="E38" s="135"/>
      <c r="F38" s="135"/>
      <c r="G38" s="135"/>
      <c r="H38" s="135"/>
      <c r="I38" s="135"/>
      <c r="J38" s="135"/>
      <c r="L38" s="42"/>
    </row>
    <row r="39" spans="1:12" s="38" customFormat="1" ht="5.0999999999999996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2" s="38" customFormat="1" ht="30" customHeight="1">
      <c r="A40" s="136" t="s">
        <v>50</v>
      </c>
      <c r="B40" s="138"/>
      <c r="C40" s="136" t="s">
        <v>51</v>
      </c>
      <c r="D40" s="138"/>
      <c r="E40" s="136" t="s">
        <v>52</v>
      </c>
      <c r="F40" s="138"/>
      <c r="G40" s="44"/>
      <c r="H40" s="136" t="s">
        <v>49</v>
      </c>
      <c r="I40" s="137"/>
      <c r="J40" s="138"/>
    </row>
    <row r="41" spans="1:12" s="38" customFormat="1" ht="46.5" customHeight="1">
      <c r="A41" s="136"/>
      <c r="B41" s="138"/>
      <c r="C41" s="136"/>
      <c r="D41" s="138"/>
      <c r="E41" s="136"/>
      <c r="F41" s="138"/>
      <c r="H41" s="136"/>
      <c r="I41" s="137"/>
      <c r="J41" s="138"/>
    </row>
  </sheetData>
  <mergeCells count="37">
    <mergeCell ref="C35:E35"/>
    <mergeCell ref="C32:E32"/>
    <mergeCell ref="C19:E31"/>
    <mergeCell ref="C15:E18"/>
    <mergeCell ref="G15:G18"/>
    <mergeCell ref="C34:E34"/>
    <mergeCell ref="C33:E33"/>
    <mergeCell ref="G19:G31"/>
    <mergeCell ref="C36:E36"/>
    <mergeCell ref="C37:E37"/>
    <mergeCell ref="A40:B40"/>
    <mergeCell ref="C40:D40"/>
    <mergeCell ref="E40:F40"/>
    <mergeCell ref="A41:B41"/>
    <mergeCell ref="C41:D41"/>
    <mergeCell ref="E41:F41"/>
    <mergeCell ref="H41:J41"/>
    <mergeCell ref="A38:J38"/>
    <mergeCell ref="H40:J40"/>
    <mergeCell ref="A1:J1"/>
    <mergeCell ref="A2:G3"/>
    <mergeCell ref="H2:H3"/>
    <mergeCell ref="I2:J3"/>
    <mergeCell ref="A4:G5"/>
    <mergeCell ref="H4:H5"/>
    <mergeCell ref="I4:J5"/>
    <mergeCell ref="I6:J7"/>
    <mergeCell ref="A8:G9"/>
    <mergeCell ref="H8:H9"/>
    <mergeCell ref="I8:J9"/>
    <mergeCell ref="H26:H27"/>
    <mergeCell ref="A6:G7"/>
    <mergeCell ref="H6:H7"/>
    <mergeCell ref="A10:J11"/>
    <mergeCell ref="A12:J12"/>
    <mergeCell ref="C13:E13"/>
    <mergeCell ref="C14:E14"/>
  </mergeCells>
  <printOptions horizontalCentered="1"/>
  <pageMargins left="0.39370078740157483" right="0.39370078740157483" top="0.19685039370078741" bottom="0.1968503937007874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rightToLeft="1" view="pageBreakPreview" zoomScale="60" zoomScaleNormal="112" workbookViewId="0">
      <selection sqref="A1:J36"/>
    </sheetView>
  </sheetViews>
  <sheetFormatPr defaultColWidth="9" defaultRowHeight="18.600000000000001"/>
  <cols>
    <col min="1" max="1" width="5.5546875" style="30" customWidth="1"/>
    <col min="2" max="2" width="6.5546875" style="30" customWidth="1"/>
    <col min="3" max="5" width="8.5546875" style="30" customWidth="1"/>
    <col min="6" max="8" width="9.5546875" style="30" customWidth="1"/>
    <col min="9" max="9" width="17.5546875" style="30" customWidth="1"/>
    <col min="10" max="10" width="5.33203125" style="30" customWidth="1"/>
    <col min="11" max="16384" width="9" style="30"/>
  </cols>
  <sheetData>
    <row r="1" spans="1:10" ht="26.25" customHeight="1">
      <c r="A1" s="139" t="s">
        <v>178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9.75" customHeight="1">
      <c r="A2" s="131" t="s">
        <v>175</v>
      </c>
      <c r="B2" s="131"/>
      <c r="C2" s="131"/>
      <c r="D2" s="131"/>
      <c r="E2" s="131"/>
      <c r="F2" s="131"/>
      <c r="G2" s="131"/>
      <c r="H2" s="132" t="s">
        <v>7</v>
      </c>
      <c r="I2" s="130"/>
      <c r="J2" s="130"/>
    </row>
    <row r="3" spans="1:10" ht="9.75" customHeight="1">
      <c r="A3" s="131"/>
      <c r="B3" s="131"/>
      <c r="C3" s="131"/>
      <c r="D3" s="131"/>
      <c r="E3" s="131"/>
      <c r="F3" s="131"/>
      <c r="G3" s="131"/>
      <c r="H3" s="132"/>
      <c r="I3" s="130"/>
      <c r="J3" s="130"/>
    </row>
    <row r="4" spans="1:10" ht="9.75" customHeight="1">
      <c r="A4" s="131" t="s">
        <v>172</v>
      </c>
      <c r="B4" s="131"/>
      <c r="C4" s="131"/>
      <c r="D4" s="131"/>
      <c r="E4" s="131"/>
      <c r="F4" s="131"/>
      <c r="G4" s="131"/>
      <c r="H4" s="132" t="s">
        <v>37</v>
      </c>
      <c r="I4" s="130"/>
      <c r="J4" s="130"/>
    </row>
    <row r="5" spans="1:10" ht="9.75" customHeight="1">
      <c r="A5" s="131"/>
      <c r="B5" s="131"/>
      <c r="C5" s="131"/>
      <c r="D5" s="131"/>
      <c r="E5" s="131"/>
      <c r="F5" s="131"/>
      <c r="G5" s="131"/>
      <c r="H5" s="132"/>
      <c r="I5" s="130"/>
      <c r="J5" s="130"/>
    </row>
    <row r="6" spans="1:10" ht="9.75" customHeight="1">
      <c r="A6" s="131" t="s">
        <v>176</v>
      </c>
      <c r="B6" s="131"/>
      <c r="C6" s="131"/>
      <c r="D6" s="131"/>
      <c r="E6" s="131"/>
      <c r="F6" s="131"/>
      <c r="G6" s="131"/>
      <c r="H6" s="132" t="s">
        <v>38</v>
      </c>
      <c r="I6" s="133"/>
      <c r="J6" s="140"/>
    </row>
    <row r="7" spans="1:10" ht="9.75" customHeight="1">
      <c r="A7" s="131"/>
      <c r="B7" s="131"/>
      <c r="C7" s="131"/>
      <c r="D7" s="131"/>
      <c r="E7" s="131"/>
      <c r="F7" s="131"/>
      <c r="G7" s="131"/>
      <c r="H7" s="132"/>
      <c r="I7" s="140"/>
      <c r="J7" s="140"/>
    </row>
    <row r="8" spans="1:10" ht="9.75" customHeight="1">
      <c r="A8" s="131" t="s">
        <v>174</v>
      </c>
      <c r="B8" s="131"/>
      <c r="C8" s="131"/>
      <c r="D8" s="131"/>
      <c r="E8" s="131"/>
      <c r="F8" s="131"/>
      <c r="G8" s="131"/>
      <c r="H8" s="132" t="s">
        <v>0</v>
      </c>
      <c r="I8" s="133"/>
      <c r="J8" s="140"/>
    </row>
    <row r="9" spans="1:10" ht="9.75" customHeight="1">
      <c r="A9" s="131"/>
      <c r="B9" s="131"/>
      <c r="C9" s="131"/>
      <c r="D9" s="131"/>
      <c r="E9" s="131"/>
      <c r="F9" s="131"/>
      <c r="G9" s="131"/>
      <c r="H9" s="132"/>
      <c r="I9" s="140"/>
      <c r="J9" s="140"/>
    </row>
    <row r="10" spans="1:10" ht="9.75" customHeight="1">
      <c r="A10" s="131" t="s">
        <v>39</v>
      </c>
      <c r="B10" s="131"/>
      <c r="C10" s="131"/>
      <c r="D10" s="131"/>
      <c r="E10" s="131"/>
      <c r="F10" s="131"/>
      <c r="G10" s="131"/>
      <c r="H10" s="131"/>
      <c r="I10" s="131"/>
      <c r="J10" s="131"/>
    </row>
    <row r="11" spans="1:10" ht="9.75" customHeight="1">
      <c r="A11" s="131"/>
      <c r="B11" s="131"/>
      <c r="C11" s="131"/>
      <c r="D11" s="131"/>
      <c r="E11" s="131"/>
      <c r="F11" s="131"/>
      <c r="G11" s="131"/>
      <c r="H11" s="131"/>
      <c r="I11" s="131"/>
      <c r="J11" s="131"/>
    </row>
    <row r="12" spans="1:10" ht="45.75" customHeight="1">
      <c r="A12" s="134" t="s">
        <v>179</v>
      </c>
      <c r="B12" s="134"/>
      <c r="C12" s="134"/>
      <c r="D12" s="134"/>
      <c r="E12" s="134"/>
      <c r="F12" s="134"/>
      <c r="G12" s="134"/>
      <c r="H12" s="134"/>
      <c r="I12" s="134"/>
      <c r="J12" s="134"/>
    </row>
    <row r="13" spans="1:10" ht="25.5" customHeight="1">
      <c r="A13" s="31"/>
      <c r="B13" s="32" t="s">
        <v>6</v>
      </c>
      <c r="C13" s="130" t="s">
        <v>1</v>
      </c>
      <c r="D13" s="130"/>
      <c r="E13" s="130"/>
      <c r="F13" s="32" t="s">
        <v>2</v>
      </c>
      <c r="G13" s="32" t="s">
        <v>3</v>
      </c>
      <c r="H13" s="32" t="s">
        <v>4</v>
      </c>
      <c r="I13" s="32" t="s">
        <v>9</v>
      </c>
      <c r="J13" s="31"/>
    </row>
    <row r="14" spans="1:10" s="38" customFormat="1" ht="21" customHeight="1">
      <c r="A14" s="33"/>
      <c r="B14" s="33">
        <v>1</v>
      </c>
      <c r="C14" s="129" t="s">
        <v>31</v>
      </c>
      <c r="D14" s="129"/>
      <c r="E14" s="129"/>
      <c r="F14" s="35">
        <v>25.82</v>
      </c>
      <c r="G14" s="129" t="s">
        <v>22</v>
      </c>
      <c r="H14" s="36" t="s">
        <v>116</v>
      </c>
      <c r="I14" s="37" t="s">
        <v>40</v>
      </c>
      <c r="J14" s="33"/>
    </row>
    <row r="15" spans="1:10" s="38" customFormat="1" ht="21" customHeight="1">
      <c r="A15" s="33"/>
      <c r="B15" s="33">
        <v>2</v>
      </c>
      <c r="C15" s="129"/>
      <c r="D15" s="129"/>
      <c r="E15" s="129"/>
      <c r="F15" s="35">
        <v>25.86</v>
      </c>
      <c r="G15" s="129"/>
      <c r="H15" s="36" t="s">
        <v>117</v>
      </c>
      <c r="I15" s="37" t="s">
        <v>118</v>
      </c>
      <c r="J15" s="33"/>
    </row>
    <row r="16" spans="1:10" s="38" customFormat="1" ht="21" customHeight="1">
      <c r="A16" s="33"/>
      <c r="B16" s="33">
        <v>3</v>
      </c>
      <c r="C16" s="129" t="s">
        <v>17</v>
      </c>
      <c r="D16" s="129"/>
      <c r="E16" s="129"/>
      <c r="F16" s="39">
        <f>(28160/1850)</f>
        <v>15.221621621621622</v>
      </c>
      <c r="G16" s="129" t="s">
        <v>41</v>
      </c>
      <c r="H16" s="36" t="s">
        <v>125</v>
      </c>
      <c r="I16" s="37" t="s">
        <v>29</v>
      </c>
      <c r="J16" s="33"/>
    </row>
    <row r="17" spans="1:10" s="38" customFormat="1" ht="21" customHeight="1">
      <c r="A17" s="33"/>
      <c r="B17" s="33">
        <v>4</v>
      </c>
      <c r="C17" s="129"/>
      <c r="D17" s="129"/>
      <c r="E17" s="129"/>
      <c r="F17" s="39">
        <f>(27210/1850)</f>
        <v>14.708108108108108</v>
      </c>
      <c r="G17" s="129"/>
      <c r="H17" s="36" t="s">
        <v>126</v>
      </c>
      <c r="I17" s="37" t="s">
        <v>29</v>
      </c>
      <c r="J17" s="33"/>
    </row>
    <row r="18" spans="1:10" s="38" customFormat="1" ht="21" customHeight="1">
      <c r="A18" s="33"/>
      <c r="B18" s="33">
        <v>5</v>
      </c>
      <c r="C18" s="129"/>
      <c r="D18" s="129"/>
      <c r="E18" s="129"/>
      <c r="F18" s="39">
        <f>(28820/1850)</f>
        <v>15.578378378378378</v>
      </c>
      <c r="G18" s="129"/>
      <c r="H18" s="36" t="s">
        <v>127</v>
      </c>
      <c r="I18" s="37" t="s">
        <v>29</v>
      </c>
      <c r="J18" s="33"/>
    </row>
    <row r="19" spans="1:10" s="38" customFormat="1" ht="21" customHeight="1">
      <c r="A19" s="33"/>
      <c r="B19" s="33">
        <v>6</v>
      </c>
      <c r="C19" s="129"/>
      <c r="D19" s="129"/>
      <c r="E19" s="129"/>
      <c r="F19" s="39">
        <f>(28520/1850)</f>
        <v>15.416216216216217</v>
      </c>
      <c r="G19" s="129"/>
      <c r="H19" s="36" t="s">
        <v>128</v>
      </c>
      <c r="I19" s="37" t="s">
        <v>29</v>
      </c>
      <c r="J19" s="33"/>
    </row>
    <row r="20" spans="1:10" s="38" customFormat="1" ht="21" customHeight="1">
      <c r="A20" s="33"/>
      <c r="B20" s="33">
        <v>7</v>
      </c>
      <c r="C20" s="129"/>
      <c r="D20" s="129"/>
      <c r="E20" s="129"/>
      <c r="F20" s="39">
        <f>(28420/1850)</f>
        <v>15.362162162162162</v>
      </c>
      <c r="G20" s="129"/>
      <c r="H20" s="36" t="s">
        <v>129</v>
      </c>
      <c r="I20" s="37" t="s">
        <v>29</v>
      </c>
      <c r="J20" s="33"/>
    </row>
    <row r="21" spans="1:10" s="38" customFormat="1" ht="21" customHeight="1">
      <c r="A21" s="33"/>
      <c r="B21" s="33">
        <v>8</v>
      </c>
      <c r="C21" s="129"/>
      <c r="D21" s="129"/>
      <c r="E21" s="129"/>
      <c r="F21" s="39">
        <f>(28030/1850)</f>
        <v>15.151351351351352</v>
      </c>
      <c r="G21" s="129"/>
      <c r="H21" s="36" t="s">
        <v>130</v>
      </c>
      <c r="I21" s="37" t="s">
        <v>29</v>
      </c>
      <c r="J21" s="33"/>
    </row>
    <row r="22" spans="1:10" s="38" customFormat="1" ht="21" customHeight="1">
      <c r="A22" s="33"/>
      <c r="B22" s="33">
        <v>9</v>
      </c>
      <c r="C22" s="129"/>
      <c r="D22" s="129"/>
      <c r="E22" s="129"/>
      <c r="F22" s="39">
        <f>(27660/1850)</f>
        <v>14.951351351351351</v>
      </c>
      <c r="G22" s="129"/>
      <c r="H22" s="36" t="s">
        <v>131</v>
      </c>
      <c r="I22" s="37" t="s">
        <v>29</v>
      </c>
      <c r="J22" s="33"/>
    </row>
    <row r="23" spans="1:10" s="38" customFormat="1" ht="21" customHeight="1">
      <c r="A23" s="33"/>
      <c r="B23" s="33">
        <v>10</v>
      </c>
      <c r="C23" s="129"/>
      <c r="D23" s="129"/>
      <c r="E23" s="129"/>
      <c r="F23" s="39">
        <f>(28660/1850)</f>
        <v>15.491891891891893</v>
      </c>
      <c r="G23" s="129"/>
      <c r="H23" s="36" t="s">
        <v>117</v>
      </c>
      <c r="I23" s="37" t="s">
        <v>29</v>
      </c>
      <c r="J23" s="33"/>
    </row>
    <row r="24" spans="1:10" s="38" customFormat="1" ht="21" customHeight="1">
      <c r="A24" s="33"/>
      <c r="B24" s="33">
        <v>11</v>
      </c>
      <c r="C24" s="129"/>
      <c r="D24" s="129"/>
      <c r="E24" s="129"/>
      <c r="F24" s="39">
        <f>(28110/1850)</f>
        <v>15.194594594594594</v>
      </c>
      <c r="G24" s="129"/>
      <c r="H24" s="36" t="s">
        <v>122</v>
      </c>
      <c r="I24" s="37" t="s">
        <v>29</v>
      </c>
      <c r="J24" s="33"/>
    </row>
    <row r="25" spans="1:10" s="38" customFormat="1" ht="21" customHeight="1">
      <c r="A25" s="33"/>
      <c r="B25" s="33">
        <v>12</v>
      </c>
      <c r="C25" s="129"/>
      <c r="D25" s="129"/>
      <c r="E25" s="129"/>
      <c r="F25" s="39">
        <f>(27320/1850)</f>
        <v>14.767567567567568</v>
      </c>
      <c r="G25" s="129"/>
      <c r="H25" s="36" t="s">
        <v>132</v>
      </c>
      <c r="I25" s="37" t="s">
        <v>29</v>
      </c>
      <c r="J25" s="33"/>
    </row>
    <row r="26" spans="1:10" s="38" customFormat="1" ht="21" customHeight="1">
      <c r="A26" s="33"/>
      <c r="B26" s="33">
        <v>13</v>
      </c>
      <c r="C26" s="129"/>
      <c r="D26" s="129"/>
      <c r="E26" s="129"/>
      <c r="F26" s="39">
        <f>(27840/1850)</f>
        <v>15.048648648648649</v>
      </c>
      <c r="G26" s="129"/>
      <c r="H26" s="36" t="s">
        <v>119</v>
      </c>
      <c r="I26" s="37" t="s">
        <v>29</v>
      </c>
      <c r="J26" s="33"/>
    </row>
    <row r="27" spans="1:10" s="38" customFormat="1" ht="21" customHeight="1">
      <c r="A27" s="33"/>
      <c r="B27" s="33">
        <v>14</v>
      </c>
      <c r="C27" s="129"/>
      <c r="D27" s="129"/>
      <c r="E27" s="129"/>
      <c r="F27" s="39">
        <f>(27380/1850)</f>
        <v>14.8</v>
      </c>
      <c r="G27" s="129"/>
      <c r="H27" s="36" t="s">
        <v>133</v>
      </c>
      <c r="I27" s="37" t="s">
        <v>29</v>
      </c>
      <c r="J27" s="33"/>
    </row>
    <row r="28" spans="1:10" s="38" customFormat="1" ht="21" customHeight="1">
      <c r="A28" s="33"/>
      <c r="B28" s="33">
        <v>15</v>
      </c>
      <c r="C28" s="129"/>
      <c r="D28" s="129"/>
      <c r="E28" s="129"/>
      <c r="F28" s="39">
        <f>(29140/1850)</f>
        <v>15.751351351351351</v>
      </c>
      <c r="G28" s="129"/>
      <c r="H28" s="36" t="s">
        <v>120</v>
      </c>
      <c r="I28" s="37" t="s">
        <v>29</v>
      </c>
      <c r="J28" s="33"/>
    </row>
    <row r="29" spans="1:10" s="38" customFormat="1" ht="21" customHeight="1">
      <c r="A29" s="33"/>
      <c r="B29" s="33">
        <v>16</v>
      </c>
      <c r="C29" s="129"/>
      <c r="D29" s="129"/>
      <c r="E29" s="129"/>
      <c r="F29" s="39">
        <f>(27040/1850)</f>
        <v>14.616216216216216</v>
      </c>
      <c r="G29" s="129"/>
      <c r="H29" s="33" t="s">
        <v>121</v>
      </c>
      <c r="I29" s="37" t="s">
        <v>35</v>
      </c>
      <c r="J29" s="33"/>
    </row>
    <row r="30" spans="1:10" s="38" customFormat="1" ht="21" customHeight="1">
      <c r="A30" s="33"/>
      <c r="B30" s="33">
        <v>17</v>
      </c>
      <c r="C30" s="129" t="s">
        <v>57</v>
      </c>
      <c r="D30" s="129"/>
      <c r="E30" s="129"/>
      <c r="F30" s="40">
        <v>2000</v>
      </c>
      <c r="G30" s="33" t="s">
        <v>56</v>
      </c>
      <c r="H30" s="33" t="s">
        <v>122</v>
      </c>
      <c r="I30" s="37" t="s">
        <v>123</v>
      </c>
      <c r="J30" s="33"/>
    </row>
    <row r="31" spans="1:10" s="38" customFormat="1" ht="21" customHeight="1">
      <c r="A31" s="33"/>
      <c r="B31" s="33">
        <v>18</v>
      </c>
      <c r="C31" s="129" t="s">
        <v>134</v>
      </c>
      <c r="D31" s="129"/>
      <c r="E31" s="129"/>
      <c r="F31" s="41">
        <f>14420/1850</f>
        <v>7.7945945945945949</v>
      </c>
      <c r="G31" s="33" t="s">
        <v>41</v>
      </c>
      <c r="H31" s="33" t="s">
        <v>124</v>
      </c>
      <c r="I31" s="37" t="s">
        <v>30</v>
      </c>
      <c r="J31" s="33"/>
    </row>
    <row r="32" spans="1:10" s="38" customFormat="1" ht="21" customHeight="1">
      <c r="A32" s="33"/>
      <c r="B32" s="33">
        <v>19</v>
      </c>
      <c r="C32" s="129" t="s">
        <v>114</v>
      </c>
      <c r="D32" s="129"/>
      <c r="E32" s="129"/>
      <c r="F32" s="40">
        <v>10000</v>
      </c>
      <c r="G32" s="33" t="s">
        <v>56</v>
      </c>
      <c r="H32" s="33" t="s">
        <v>124</v>
      </c>
      <c r="I32" s="37" t="s">
        <v>30</v>
      </c>
      <c r="J32" s="33"/>
    </row>
    <row r="33" spans="1:12" ht="39" customHeight="1">
      <c r="A33" s="135" t="s">
        <v>5</v>
      </c>
      <c r="B33" s="135"/>
      <c r="C33" s="135"/>
      <c r="D33" s="135"/>
      <c r="E33" s="135"/>
      <c r="F33" s="135"/>
      <c r="G33" s="135"/>
      <c r="H33" s="135"/>
      <c r="I33" s="135"/>
      <c r="J33" s="135"/>
      <c r="L33" s="42"/>
    </row>
    <row r="34" spans="1:12" s="38" customFormat="1" ht="5.0999999999999996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</row>
    <row r="35" spans="1:12" s="38" customFormat="1" ht="30" customHeight="1">
      <c r="A35" s="136" t="s">
        <v>50</v>
      </c>
      <c r="B35" s="138"/>
      <c r="C35" s="136" t="s">
        <v>51</v>
      </c>
      <c r="D35" s="138"/>
      <c r="E35" s="136" t="s">
        <v>52</v>
      </c>
      <c r="F35" s="138"/>
      <c r="G35" s="44"/>
      <c r="H35" s="136" t="s">
        <v>49</v>
      </c>
      <c r="I35" s="137"/>
      <c r="J35" s="138"/>
    </row>
    <row r="36" spans="1:12" s="38" customFormat="1" ht="46.5" customHeight="1">
      <c r="A36" s="136"/>
      <c r="B36" s="138"/>
      <c r="C36" s="136"/>
      <c r="D36" s="138"/>
      <c r="E36" s="136"/>
      <c r="F36" s="138"/>
      <c r="H36" s="136"/>
      <c r="I36" s="137"/>
      <c r="J36" s="138"/>
    </row>
  </sheetData>
  <mergeCells count="32">
    <mergeCell ref="A36:B36"/>
    <mergeCell ref="C36:D36"/>
    <mergeCell ref="E36:F36"/>
    <mergeCell ref="H36:J36"/>
    <mergeCell ref="G16:G29"/>
    <mergeCell ref="C16:E29"/>
    <mergeCell ref="C32:E32"/>
    <mergeCell ref="A33:J33"/>
    <mergeCell ref="A35:B35"/>
    <mergeCell ref="C35:D35"/>
    <mergeCell ref="E35:F35"/>
    <mergeCell ref="H35:J35"/>
    <mergeCell ref="C30:E30"/>
    <mergeCell ref="C31:E31"/>
    <mergeCell ref="A10:J11"/>
    <mergeCell ref="A12:J12"/>
    <mergeCell ref="C13:E13"/>
    <mergeCell ref="C14:E15"/>
    <mergeCell ref="G14:G15"/>
    <mergeCell ref="A6:G7"/>
    <mergeCell ref="H6:H7"/>
    <mergeCell ref="I6:J7"/>
    <mergeCell ref="A8:G9"/>
    <mergeCell ref="H8:H9"/>
    <mergeCell ref="I8:J9"/>
    <mergeCell ref="A1:J1"/>
    <mergeCell ref="A2:G3"/>
    <mergeCell ref="H2:H3"/>
    <mergeCell ref="I2:J3"/>
    <mergeCell ref="A4:G5"/>
    <mergeCell ref="H4:H5"/>
    <mergeCell ref="I4:J5"/>
  </mergeCells>
  <printOptions horizontalCentered="1"/>
  <pageMargins left="0.39370078740157483" right="0.39370078740157483" top="0.19685039370078741" bottom="0.19685039370078741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rightToLeft="1" workbookViewId="0">
      <selection activeCell="I4" sqref="I4"/>
    </sheetView>
  </sheetViews>
  <sheetFormatPr defaultRowHeight="14.4"/>
  <cols>
    <col min="1" max="1" width="4.33203125" style="15" customWidth="1"/>
    <col min="2" max="2" width="20.6640625" style="15" customWidth="1"/>
    <col min="3" max="3" width="8.6640625" style="15" customWidth="1"/>
    <col min="4" max="9" width="8.44140625" style="15" customWidth="1"/>
    <col min="10" max="10" width="13.88671875" style="15" customWidth="1"/>
    <col min="11" max="11" width="11" style="15" customWidth="1"/>
    <col min="12" max="16" width="8.44140625" style="15" customWidth="1"/>
    <col min="17" max="17" width="13.6640625" style="15" customWidth="1"/>
  </cols>
  <sheetData>
    <row r="1" spans="1:19" ht="32.25" customHeight="1">
      <c r="A1" s="151" t="s">
        <v>159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6"/>
      <c r="S1" s="16"/>
    </row>
    <row r="2" spans="1:19" ht="18.600000000000001">
      <c r="A2" s="155" t="s">
        <v>6</v>
      </c>
      <c r="B2" s="154" t="s">
        <v>1</v>
      </c>
      <c r="C2" s="154" t="s">
        <v>150</v>
      </c>
      <c r="D2" s="154" t="s">
        <v>151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6" t="s">
        <v>152</v>
      </c>
    </row>
    <row r="3" spans="1:19" ht="18.600000000000001">
      <c r="A3" s="155"/>
      <c r="B3" s="154"/>
      <c r="C3" s="154"/>
      <c r="D3" s="45" t="s">
        <v>137</v>
      </c>
      <c r="E3" s="46" t="s">
        <v>138</v>
      </c>
      <c r="F3" s="47" t="s">
        <v>139</v>
      </c>
      <c r="G3" s="48" t="s">
        <v>140</v>
      </c>
      <c r="H3" s="49" t="s">
        <v>141</v>
      </c>
      <c r="I3" s="50" t="s">
        <v>142</v>
      </c>
      <c r="J3" s="51" t="s">
        <v>143</v>
      </c>
      <c r="K3" s="52" t="s">
        <v>144</v>
      </c>
      <c r="L3" s="53" t="s">
        <v>145</v>
      </c>
      <c r="M3" s="53" t="s">
        <v>146</v>
      </c>
      <c r="N3" s="53" t="s">
        <v>147</v>
      </c>
      <c r="O3" s="53" t="s">
        <v>148</v>
      </c>
      <c r="P3" s="53" t="s">
        <v>149</v>
      </c>
      <c r="Q3" s="156"/>
    </row>
    <row r="4" spans="1:19" ht="22.5" customHeight="1">
      <c r="A4" s="54">
        <v>1</v>
      </c>
      <c r="B4" s="55" t="s">
        <v>135</v>
      </c>
      <c r="C4" s="56" t="s">
        <v>22</v>
      </c>
      <c r="D4" s="57">
        <f>('ابنیه-1'!F14+'ابنیه-1'!F15+'ابنیه-1'!F16+'ابنیه-1'!F17+'ابنیه-1'!F18)*1.85</f>
        <v>147.14000000000001</v>
      </c>
      <c r="E4" s="58">
        <f>('ابنیه-2'!F27+'ابنیه-2'!F28+'ابنیه-2'!F29)*1.85</f>
        <v>102.755</v>
      </c>
      <c r="F4" s="59">
        <f>'ابنیه-3'!F24*1.85</f>
        <v>25.55</v>
      </c>
      <c r="G4" s="60">
        <f>('ابنیه-4'!F23+'ابنیه-4'!F22+'ابنیه-4'!F21+'ابنیه-4'!F20+'ابنیه-4'!F19+'ابنیه-4'!F18+'ابنیه-4'!F17+'ابنیه-4'!F16+'ابنیه-4'!F15+'ابنیه-4'!F14)*1.85</f>
        <v>281.76100000000002</v>
      </c>
      <c r="H4" s="61">
        <f>('ابنیه-5'!F31+'ابنیه-5'!F30+'ابنیه-5'!F29+'ابنیه-5'!F28+'ابنیه-5'!F27+'ابنیه-5'!F26+'ابنیه-5'!F25+'ابنیه-5'!F24+'ابنیه-5'!F23+'ابنیه-5'!F22+'ابنیه-5'!F21+'ابنیه-5'!F20+'ابنیه-5'!F19)*1.85</f>
        <v>348.01</v>
      </c>
      <c r="I4" s="62">
        <f>('ابنیه-6'!F29+'ابنیه-6'!F28+'ابنیه-6'!F27+'ابنیه-6'!F26+'ابنیه-6'!F25+'ابنیه-6'!F24+'ابنیه-6'!F23+'ابنیه-6'!F22+'ابنیه-6'!F21+'ابنیه-6'!F20+'ابنیه-6'!F19+'ابنیه-6'!F18+'ابنیه-6'!F17+'ابنیه-6'!F16)*1.85</f>
        <v>392.31</v>
      </c>
      <c r="J4" s="63" t="e">
        <f>(#REF!+#REF!+#REF!+#REF!)*1.85</f>
        <v>#REF!</v>
      </c>
      <c r="K4" s="64" t="e">
        <f>(#REF!+#REF!+#REF!+#REF!+#REF!+#REF!+#REF!+#REF!+#REF!+#REF!+#REF!+#REF!+#REF!+#REF!+#REF!+#REF!+#REF!)*1.85</f>
        <v>#REF!</v>
      </c>
      <c r="L4" s="56"/>
      <c r="M4" s="56"/>
      <c r="N4" s="56"/>
      <c r="O4" s="56"/>
      <c r="P4" s="56"/>
      <c r="Q4" s="65" t="e">
        <f>D4+E4+F4+G4+H4+I4+J4+K4+L4+M4+N4+R4+R4+O4+P4</f>
        <v>#REF!</v>
      </c>
    </row>
    <row r="5" spans="1:19" ht="22.5" customHeight="1">
      <c r="A5" s="66">
        <v>2</v>
      </c>
      <c r="B5" s="67" t="s">
        <v>136</v>
      </c>
      <c r="C5" s="68" t="s">
        <v>22</v>
      </c>
      <c r="D5" s="69">
        <f>'ابنیه-1'!F19+'ابنیه-1'!F20+'ابنیه-1'!F21</f>
        <v>7.5</v>
      </c>
      <c r="E5" s="70">
        <f>'ابنیه-2'!F23+'ابنیه-2'!F24+'ابنیه-2'!F25+'ابنیه-2'!F26</f>
        <v>57.75</v>
      </c>
      <c r="F5" s="71">
        <v>0</v>
      </c>
      <c r="G5" s="72">
        <f>('ابنیه-4'!F28+'ابنیه-4'!F29)/1000</f>
        <v>47.93</v>
      </c>
      <c r="H5" s="73">
        <f>'ابنیه-5'!F15+'ابنیه-5'!F16+'ابنیه-5'!F17+'ابنیه-5'!F18</f>
        <v>78.099999999999994</v>
      </c>
      <c r="I5" s="74">
        <f>'ابنیه-6'!F14+'ابنیه-6'!F15</f>
        <v>51.68</v>
      </c>
      <c r="J5" s="75" t="e">
        <f>#REF!+#REF!+#REF!</f>
        <v>#REF!</v>
      </c>
      <c r="K5" s="76" t="e">
        <f>(#REF!+#REF!+#REF!+#REF!)/1000</f>
        <v>#REF!</v>
      </c>
      <c r="L5" s="68"/>
      <c r="M5" s="68"/>
      <c r="N5" s="68"/>
      <c r="O5" s="68"/>
      <c r="P5" s="68"/>
      <c r="Q5" s="77" t="e">
        <f t="shared" ref="Q5:Q25" si="0">D5+E5+F5+G5+H5+I5+J5+K5+L5+M5+N5+R5+R5+O5+P5</f>
        <v>#REF!</v>
      </c>
    </row>
    <row r="6" spans="1:19" ht="22.5" customHeight="1">
      <c r="A6" s="66">
        <v>3</v>
      </c>
      <c r="B6" s="67" t="s">
        <v>153</v>
      </c>
      <c r="C6" s="68" t="s">
        <v>56</v>
      </c>
      <c r="D6" s="69">
        <v>0</v>
      </c>
      <c r="E6" s="78">
        <f>'ابنیه-2'!F31+'ابنیه-2'!F32+'ابنیه-2'!F33+'ابنیه-2'!F34+'ابنیه-2'!F35+'ابنیه-2'!F36</f>
        <v>12900</v>
      </c>
      <c r="F6" s="79">
        <f>'ابنیه-3'!F22+'ابنیه-3'!F23</f>
        <v>4000</v>
      </c>
      <c r="G6" s="80">
        <f>'ابنیه-4'!F25</f>
        <v>1300</v>
      </c>
      <c r="H6" s="81">
        <f>'ابنیه-5'!F33+'ابنیه-5'!F34</f>
        <v>4000</v>
      </c>
      <c r="I6" s="82">
        <f>'ابنیه-6'!F30</f>
        <v>2000</v>
      </c>
      <c r="J6" s="83" t="e">
        <f>#REF!+#REF!+#REF!</f>
        <v>#REF!</v>
      </c>
      <c r="K6" s="76">
        <v>0</v>
      </c>
      <c r="L6" s="68"/>
      <c r="M6" s="68"/>
      <c r="N6" s="68"/>
      <c r="O6" s="68"/>
      <c r="P6" s="68"/>
      <c r="Q6" s="84" t="e">
        <f t="shared" si="0"/>
        <v>#REF!</v>
      </c>
    </row>
    <row r="7" spans="1:19" ht="22.5" customHeight="1">
      <c r="A7" s="66">
        <v>4</v>
      </c>
      <c r="B7" s="67" t="s">
        <v>154</v>
      </c>
      <c r="C7" s="68" t="s">
        <v>56</v>
      </c>
      <c r="D7" s="69">
        <v>0</v>
      </c>
      <c r="E7" s="78">
        <f>'ابنیه-2'!F38+'ابنیه-2'!F37</f>
        <v>2800</v>
      </c>
      <c r="F7" s="71">
        <v>0</v>
      </c>
      <c r="G7" s="72">
        <v>0</v>
      </c>
      <c r="H7" s="81">
        <f>'ابنیه-5'!F32</f>
        <v>1400</v>
      </c>
      <c r="I7" s="74">
        <v>0</v>
      </c>
      <c r="J7" s="83" t="e">
        <f>#REF!</f>
        <v>#REF!</v>
      </c>
      <c r="K7" s="76">
        <v>0</v>
      </c>
      <c r="L7" s="68"/>
      <c r="M7" s="68"/>
      <c r="N7" s="68"/>
      <c r="O7" s="68"/>
      <c r="P7" s="68"/>
      <c r="Q7" s="84" t="e">
        <f t="shared" si="0"/>
        <v>#REF!</v>
      </c>
    </row>
    <row r="8" spans="1:19" ht="22.5" customHeight="1">
      <c r="A8" s="66">
        <v>5</v>
      </c>
      <c r="B8" s="67" t="s">
        <v>12</v>
      </c>
      <c r="C8" s="68" t="s">
        <v>56</v>
      </c>
      <c r="D8" s="69">
        <f>'ابنیه-1'!F25+'ابنیه-1'!F26</f>
        <v>16035</v>
      </c>
      <c r="E8" s="78">
        <f>'ابنیه-2'!F39</f>
        <v>13570</v>
      </c>
      <c r="F8" s="71">
        <v>0</v>
      </c>
      <c r="G8" s="72">
        <v>0</v>
      </c>
      <c r="H8" s="73">
        <v>0</v>
      </c>
      <c r="I8" s="74">
        <v>0</v>
      </c>
      <c r="J8" s="75">
        <v>0</v>
      </c>
      <c r="K8" s="76">
        <v>0</v>
      </c>
      <c r="L8" s="68"/>
      <c r="M8" s="68"/>
      <c r="N8" s="68"/>
      <c r="O8" s="68"/>
      <c r="P8" s="68"/>
      <c r="Q8" s="77">
        <f t="shared" si="0"/>
        <v>29605</v>
      </c>
    </row>
    <row r="9" spans="1:19" ht="22.5" customHeight="1">
      <c r="A9" s="66">
        <v>6</v>
      </c>
      <c r="B9" s="67" t="s">
        <v>114</v>
      </c>
      <c r="C9" s="68" t="s">
        <v>56</v>
      </c>
      <c r="D9" s="69">
        <v>0</v>
      </c>
      <c r="E9" s="70">
        <v>0</v>
      </c>
      <c r="F9" s="71">
        <v>0</v>
      </c>
      <c r="G9" s="80">
        <f>'ابنیه-4'!F26</f>
        <v>10000</v>
      </c>
      <c r="H9" s="81">
        <f>'ابنیه-5'!F35</f>
        <v>10000</v>
      </c>
      <c r="I9" s="82">
        <f>'ابنیه-6'!F32</f>
        <v>10000</v>
      </c>
      <c r="J9" s="75">
        <v>0</v>
      </c>
      <c r="K9" s="85" t="e">
        <f>#REF!</f>
        <v>#REF!</v>
      </c>
      <c r="L9" s="68"/>
      <c r="M9" s="68"/>
      <c r="N9" s="68"/>
      <c r="O9" s="68"/>
      <c r="P9" s="68"/>
      <c r="Q9" s="84" t="e">
        <f t="shared" si="0"/>
        <v>#REF!</v>
      </c>
    </row>
    <row r="10" spans="1:19" ht="22.5" customHeight="1">
      <c r="A10" s="66">
        <v>7</v>
      </c>
      <c r="B10" s="67" t="s">
        <v>155</v>
      </c>
      <c r="C10" s="68" t="s">
        <v>22</v>
      </c>
      <c r="D10" s="69">
        <f>('ابنیه-1'!F27+'ابنیه-1'!F28)/1000</f>
        <v>2.4882</v>
      </c>
      <c r="E10" s="70">
        <f>'ابنیه-2'!F30/1000</f>
        <v>9.9700000000000006</v>
      </c>
      <c r="F10" s="71">
        <v>0</v>
      </c>
      <c r="G10" s="72">
        <f>'ابنیه-4'!F24/1000</f>
        <v>9.6300000000000008</v>
      </c>
      <c r="H10" s="73">
        <v>0</v>
      </c>
      <c r="I10" s="74">
        <v>0</v>
      </c>
      <c r="J10" s="75" t="e">
        <f>(#REF!+#REF!)/1000</f>
        <v>#REF!</v>
      </c>
      <c r="K10" s="76" t="e">
        <f>#REF!/1000</f>
        <v>#REF!</v>
      </c>
      <c r="L10" s="68"/>
      <c r="M10" s="68"/>
      <c r="N10" s="68"/>
      <c r="O10" s="68"/>
      <c r="P10" s="68"/>
      <c r="Q10" s="77" t="e">
        <f t="shared" si="0"/>
        <v>#REF!</v>
      </c>
    </row>
    <row r="11" spans="1:19" ht="22.5" customHeight="1">
      <c r="A11" s="66">
        <v>8</v>
      </c>
      <c r="B11" s="67" t="s">
        <v>156</v>
      </c>
      <c r="C11" s="68" t="s">
        <v>22</v>
      </c>
      <c r="D11" s="69">
        <f>('ابنیه-1'!F29+'ابنیه-1'!F30+'ابنیه-1'!F31)/1000</f>
        <v>0.29409239999999998</v>
      </c>
      <c r="E11" s="70">
        <f>('ابنیه-2'!F20+'ابنیه-2'!F21)/1000</f>
        <v>0.66505199999999987</v>
      </c>
      <c r="F11" s="71">
        <f>('ابنیه-3'!F18+'ابنیه-3'!F19+'ابنیه-3'!F20)/1000</f>
        <v>0.75359999999999994</v>
      </c>
      <c r="G11" s="72">
        <v>0</v>
      </c>
      <c r="H11" s="73">
        <f>'ابنیه-5'!F14/1000</f>
        <v>0.183</v>
      </c>
      <c r="I11" s="74">
        <v>0</v>
      </c>
      <c r="J11" s="75" t="e">
        <f>#REF!/1000</f>
        <v>#REF!</v>
      </c>
      <c r="K11" s="76">
        <v>0</v>
      </c>
      <c r="L11" s="68"/>
      <c r="M11" s="68"/>
      <c r="N11" s="68"/>
      <c r="O11" s="68"/>
      <c r="P11" s="68"/>
      <c r="Q11" s="77" t="e">
        <f t="shared" si="0"/>
        <v>#REF!</v>
      </c>
    </row>
    <row r="12" spans="1:19" ht="22.5" customHeight="1">
      <c r="A12" s="66">
        <v>9</v>
      </c>
      <c r="B12" s="67" t="s">
        <v>157</v>
      </c>
      <c r="C12" s="68" t="s">
        <v>22</v>
      </c>
      <c r="D12" s="69">
        <f>'ابنیه-1'!F23+'ابنیه-1'!F24</f>
        <v>0.60000000000000009</v>
      </c>
      <c r="E12" s="70">
        <v>0</v>
      </c>
      <c r="F12" s="71">
        <f>'ابنیه-3'!F21</f>
        <v>2.4</v>
      </c>
      <c r="G12" s="72">
        <v>0</v>
      </c>
      <c r="H12" s="73">
        <f>'ابنیه-5'!F36</f>
        <v>0.32</v>
      </c>
      <c r="I12" s="74">
        <v>0</v>
      </c>
      <c r="J12" s="75">
        <v>0</v>
      </c>
      <c r="K12" s="76">
        <v>0</v>
      </c>
      <c r="L12" s="68"/>
      <c r="M12" s="68"/>
      <c r="N12" s="68"/>
      <c r="O12" s="68"/>
      <c r="P12" s="68"/>
      <c r="Q12" s="77">
        <f t="shared" si="0"/>
        <v>3.32</v>
      </c>
    </row>
    <row r="13" spans="1:19" ht="22.5" customHeight="1">
      <c r="A13" s="66">
        <v>10</v>
      </c>
      <c r="B13" s="67" t="s">
        <v>158</v>
      </c>
      <c r="C13" s="68" t="s">
        <v>22</v>
      </c>
      <c r="D13" s="69">
        <f>'ابنیه-1'!F22</f>
        <v>0.25</v>
      </c>
      <c r="E13" s="70">
        <v>0</v>
      </c>
      <c r="F13" s="71">
        <v>0</v>
      </c>
      <c r="G13" s="72">
        <v>0</v>
      </c>
      <c r="H13" s="73">
        <v>0</v>
      </c>
      <c r="I13" s="74">
        <v>0</v>
      </c>
      <c r="J13" s="75">
        <v>0</v>
      </c>
      <c r="K13" s="76">
        <v>0</v>
      </c>
      <c r="L13" s="68"/>
      <c r="M13" s="68"/>
      <c r="N13" s="68"/>
      <c r="O13" s="68"/>
      <c r="P13" s="68"/>
      <c r="Q13" s="77">
        <f t="shared" si="0"/>
        <v>0.25</v>
      </c>
    </row>
    <row r="14" spans="1:19" ht="22.5" customHeight="1">
      <c r="A14" s="66">
        <v>11</v>
      </c>
      <c r="B14" s="67" t="s">
        <v>160</v>
      </c>
      <c r="C14" s="68" t="s">
        <v>22</v>
      </c>
      <c r="D14" s="69">
        <f>('ابنیه-1'!F32+'ابنیه-1'!F33+'ابنیه-1'!F34+'ابنیه-1'!F35+'ابنیه-1'!F36)*2</f>
        <v>133.99</v>
      </c>
      <c r="E14" s="70">
        <f>('ابنیه-2'!F14+'ابنیه-2'!F15+'ابنیه-2'!F16+'ابنیه-2'!F17+'ابنیه-2'!F18+'ابنیه-2'!F19)*2</f>
        <v>197.99</v>
      </c>
      <c r="F14" s="71">
        <v>0</v>
      </c>
      <c r="G14" s="72">
        <v>0</v>
      </c>
      <c r="H14" s="73">
        <v>0</v>
      </c>
      <c r="I14" s="74">
        <v>0</v>
      </c>
      <c r="J14" s="75">
        <v>0</v>
      </c>
      <c r="K14" s="76">
        <v>0</v>
      </c>
      <c r="L14" s="68"/>
      <c r="M14" s="68"/>
      <c r="N14" s="68"/>
      <c r="O14" s="68"/>
      <c r="P14" s="68"/>
      <c r="Q14" s="77">
        <f t="shared" si="0"/>
        <v>331.98</v>
      </c>
    </row>
    <row r="15" spans="1:19" ht="22.5" customHeight="1">
      <c r="A15" s="66">
        <v>12</v>
      </c>
      <c r="B15" s="67" t="s">
        <v>161</v>
      </c>
      <c r="C15" s="68" t="s">
        <v>8</v>
      </c>
      <c r="D15" s="86">
        <v>500</v>
      </c>
      <c r="E15" s="70">
        <v>0</v>
      </c>
      <c r="F15" s="79">
        <f>'ابنیه-3'!F15</f>
        <v>1500</v>
      </c>
      <c r="G15" s="72">
        <v>2000</v>
      </c>
      <c r="H15" s="73">
        <v>0</v>
      </c>
      <c r="I15" s="74">
        <v>0</v>
      </c>
      <c r="J15" s="75">
        <v>0</v>
      </c>
      <c r="K15" s="76">
        <v>0</v>
      </c>
      <c r="L15" s="68"/>
      <c r="M15" s="68"/>
      <c r="N15" s="68"/>
      <c r="O15" s="68"/>
      <c r="P15" s="68"/>
      <c r="Q15" s="84">
        <f t="shared" si="0"/>
        <v>4000</v>
      </c>
    </row>
    <row r="16" spans="1:19" ht="22.5" customHeight="1">
      <c r="A16" s="66">
        <v>13</v>
      </c>
      <c r="B16" s="67" t="s">
        <v>162</v>
      </c>
      <c r="C16" s="68" t="s">
        <v>23</v>
      </c>
      <c r="D16" s="69">
        <v>0</v>
      </c>
      <c r="E16" s="70">
        <v>0</v>
      </c>
      <c r="F16" s="71">
        <v>0</v>
      </c>
      <c r="G16" s="72">
        <f>'ابنیه-4'!F27</f>
        <v>275</v>
      </c>
      <c r="H16" s="73">
        <v>0</v>
      </c>
      <c r="I16" s="74">
        <v>0</v>
      </c>
      <c r="J16" s="75">
        <v>0</v>
      </c>
      <c r="K16" s="76">
        <v>0</v>
      </c>
      <c r="L16" s="68"/>
      <c r="M16" s="68"/>
      <c r="N16" s="68"/>
      <c r="O16" s="68"/>
      <c r="P16" s="68"/>
      <c r="Q16" s="77">
        <f t="shared" si="0"/>
        <v>275</v>
      </c>
    </row>
    <row r="17" spans="1:17" ht="22.5" customHeight="1">
      <c r="A17" s="66">
        <v>14</v>
      </c>
      <c r="B17" s="67" t="s">
        <v>86</v>
      </c>
      <c r="C17" s="68" t="s">
        <v>22</v>
      </c>
      <c r="D17" s="69">
        <v>0</v>
      </c>
      <c r="E17" s="70">
        <v>0</v>
      </c>
      <c r="F17" s="71">
        <v>0</v>
      </c>
      <c r="G17" s="72">
        <v>0</v>
      </c>
      <c r="H17" s="87">
        <f>'ابنیه-5'!F37/1000</f>
        <v>0.53333333333333321</v>
      </c>
      <c r="I17" s="74">
        <v>0</v>
      </c>
      <c r="J17" s="75">
        <v>0</v>
      </c>
      <c r="K17" s="76">
        <v>0</v>
      </c>
      <c r="L17" s="68"/>
      <c r="M17" s="68"/>
      <c r="N17" s="68"/>
      <c r="O17" s="68"/>
      <c r="P17" s="68"/>
      <c r="Q17" s="77">
        <f t="shared" si="0"/>
        <v>0.53333333333333321</v>
      </c>
    </row>
    <row r="18" spans="1:17" ht="22.5" customHeight="1">
      <c r="A18" s="66">
        <v>15</v>
      </c>
      <c r="B18" s="67" t="s">
        <v>134</v>
      </c>
      <c r="C18" s="68" t="s">
        <v>22</v>
      </c>
      <c r="D18" s="69">
        <v>0</v>
      </c>
      <c r="E18" s="70">
        <v>0</v>
      </c>
      <c r="F18" s="71">
        <v>0</v>
      </c>
      <c r="G18" s="72">
        <v>0</v>
      </c>
      <c r="H18" s="73">
        <v>0</v>
      </c>
      <c r="I18" s="88">
        <f>'ابنیه-6'!F31</f>
        <v>7.7945945945945949</v>
      </c>
      <c r="J18" s="75">
        <v>0</v>
      </c>
      <c r="K18" s="85" t="e">
        <f>(#REF!+#REF!+#REF!+#REF!)*1.6</f>
        <v>#REF!</v>
      </c>
      <c r="L18" s="68"/>
      <c r="M18" s="68"/>
      <c r="N18" s="68"/>
      <c r="O18" s="68"/>
      <c r="P18" s="68"/>
      <c r="Q18" s="77" t="e">
        <f t="shared" si="0"/>
        <v>#REF!</v>
      </c>
    </row>
    <row r="19" spans="1:17" ht="22.5" customHeight="1">
      <c r="A19" s="66">
        <v>16</v>
      </c>
      <c r="B19" s="67" t="s">
        <v>166</v>
      </c>
      <c r="C19" s="68" t="s">
        <v>164</v>
      </c>
      <c r="D19" s="69">
        <v>0</v>
      </c>
      <c r="E19" s="70">
        <v>0</v>
      </c>
      <c r="F19" s="71">
        <v>0</v>
      </c>
      <c r="G19" s="72">
        <v>0</v>
      </c>
      <c r="H19" s="73">
        <v>0</v>
      </c>
      <c r="I19" s="74">
        <v>0</v>
      </c>
      <c r="J19" s="75" t="e">
        <f>#REF!+#REF!+#REF!+#REF!</f>
        <v>#REF!</v>
      </c>
      <c r="K19" s="76">
        <v>0</v>
      </c>
      <c r="L19" s="68"/>
      <c r="M19" s="68"/>
      <c r="N19" s="68"/>
      <c r="O19" s="68"/>
      <c r="P19" s="68"/>
      <c r="Q19" s="77" t="e">
        <f t="shared" si="0"/>
        <v>#REF!</v>
      </c>
    </row>
    <row r="20" spans="1:17" ht="22.5" customHeight="1">
      <c r="A20" s="66">
        <v>17</v>
      </c>
      <c r="B20" s="67" t="s">
        <v>163</v>
      </c>
      <c r="C20" s="68" t="s">
        <v>41</v>
      </c>
      <c r="D20" s="69">
        <v>0</v>
      </c>
      <c r="E20" s="70">
        <v>0</v>
      </c>
      <c r="F20" s="71">
        <v>0</v>
      </c>
      <c r="G20" s="72">
        <v>0</v>
      </c>
      <c r="H20" s="73">
        <v>0</v>
      </c>
      <c r="I20" s="74">
        <v>0</v>
      </c>
      <c r="J20" s="89" t="e">
        <f>#REF!+#REF!+#REF!+#REF!+#REF!+#REF!+#REF!+#REF!</f>
        <v>#REF!</v>
      </c>
      <c r="K20" s="90" t="e">
        <f>#REF!+#REF!+#REF!+#REF!+#REF!+#REF!+#REF!</f>
        <v>#REF!</v>
      </c>
      <c r="L20" s="68"/>
      <c r="M20" s="68"/>
      <c r="N20" s="68"/>
      <c r="O20" s="68"/>
      <c r="P20" s="68"/>
      <c r="Q20" s="77" t="e">
        <f t="shared" si="0"/>
        <v>#REF!</v>
      </c>
    </row>
    <row r="21" spans="1:17" ht="22.5" customHeight="1">
      <c r="A21" s="66">
        <v>18</v>
      </c>
      <c r="B21" s="67" t="s">
        <v>165</v>
      </c>
      <c r="C21" s="68" t="s">
        <v>23</v>
      </c>
      <c r="D21" s="69">
        <v>0</v>
      </c>
      <c r="E21" s="70">
        <v>0</v>
      </c>
      <c r="F21" s="71">
        <v>0</v>
      </c>
      <c r="G21" s="72">
        <v>0</v>
      </c>
      <c r="H21" s="73">
        <v>0</v>
      </c>
      <c r="I21" s="74">
        <v>0</v>
      </c>
      <c r="J21" s="75" t="e">
        <f>#REF!</f>
        <v>#REF!</v>
      </c>
      <c r="K21" s="76">
        <v>0</v>
      </c>
      <c r="L21" s="68"/>
      <c r="M21" s="68"/>
      <c r="N21" s="68"/>
      <c r="O21" s="68"/>
      <c r="P21" s="68"/>
      <c r="Q21" s="77" t="e">
        <f t="shared" si="0"/>
        <v>#REF!</v>
      </c>
    </row>
    <row r="22" spans="1:17" ht="22.5" customHeight="1">
      <c r="A22" s="66">
        <v>19</v>
      </c>
      <c r="B22" s="67" t="s">
        <v>168</v>
      </c>
      <c r="C22" s="68" t="s">
        <v>23</v>
      </c>
      <c r="D22" s="69">
        <v>0</v>
      </c>
      <c r="E22" s="70">
        <v>0</v>
      </c>
      <c r="F22" s="71">
        <v>0</v>
      </c>
      <c r="G22" s="72">
        <v>0</v>
      </c>
      <c r="H22" s="73">
        <v>0</v>
      </c>
      <c r="I22" s="74">
        <v>0</v>
      </c>
      <c r="J22" s="75">
        <v>0</v>
      </c>
      <c r="K22" s="76" t="e">
        <f>#REF!</f>
        <v>#REF!</v>
      </c>
      <c r="L22" s="68"/>
      <c r="M22" s="68"/>
      <c r="N22" s="68"/>
      <c r="O22" s="68"/>
      <c r="P22" s="68"/>
      <c r="Q22" s="77" t="e">
        <f t="shared" si="0"/>
        <v>#REF!</v>
      </c>
    </row>
    <row r="23" spans="1:17" ht="22.5" customHeight="1">
      <c r="A23" s="66">
        <v>20</v>
      </c>
      <c r="B23" s="67" t="s">
        <v>169</v>
      </c>
      <c r="C23" s="68" t="s">
        <v>23</v>
      </c>
      <c r="D23" s="69">
        <v>0</v>
      </c>
      <c r="E23" s="70">
        <v>0</v>
      </c>
      <c r="F23" s="71">
        <v>0</v>
      </c>
      <c r="G23" s="72">
        <v>0</v>
      </c>
      <c r="H23" s="73">
        <v>0</v>
      </c>
      <c r="I23" s="74">
        <v>0</v>
      </c>
      <c r="J23" s="75">
        <v>0</v>
      </c>
      <c r="K23" s="90" t="e">
        <f>#REF!</f>
        <v>#REF!</v>
      </c>
      <c r="L23" s="68"/>
      <c r="M23" s="68"/>
      <c r="N23" s="68"/>
      <c r="O23" s="68"/>
      <c r="P23" s="68"/>
      <c r="Q23" s="77" t="e">
        <f t="shared" si="0"/>
        <v>#REF!</v>
      </c>
    </row>
    <row r="24" spans="1:17" ht="18.600000000000001">
      <c r="A24" s="91">
        <v>21</v>
      </c>
      <c r="B24" s="92" t="s">
        <v>167</v>
      </c>
      <c r="C24" s="93" t="s">
        <v>23</v>
      </c>
      <c r="D24" s="94">
        <v>0</v>
      </c>
      <c r="E24" s="95">
        <v>0</v>
      </c>
      <c r="F24" s="96">
        <v>0</v>
      </c>
      <c r="G24" s="97">
        <v>0</v>
      </c>
      <c r="H24" s="98">
        <v>0</v>
      </c>
      <c r="I24" s="99">
        <v>0</v>
      </c>
      <c r="J24" s="100">
        <v>0</v>
      </c>
      <c r="K24" s="101" t="e">
        <f>#REF!</f>
        <v>#REF!</v>
      </c>
      <c r="L24" s="93"/>
      <c r="M24" s="93"/>
      <c r="N24" s="93"/>
      <c r="O24" s="93"/>
      <c r="P24" s="93"/>
      <c r="Q24" s="77" t="e">
        <f t="shared" si="0"/>
        <v>#REF!</v>
      </c>
    </row>
    <row r="25" spans="1:17" ht="18.600000000000001">
      <c r="A25" s="66">
        <v>22</v>
      </c>
      <c r="B25" s="67" t="s">
        <v>170</v>
      </c>
      <c r="C25" s="68" t="s">
        <v>22</v>
      </c>
      <c r="D25" s="69"/>
      <c r="E25" s="70"/>
      <c r="F25" s="71"/>
      <c r="G25" s="72"/>
      <c r="H25" s="73"/>
      <c r="I25" s="74"/>
      <c r="J25" s="89" t="e">
        <f>#REF!*2</f>
        <v>#REF!</v>
      </c>
      <c r="K25" s="90" t="e">
        <f>#REF!</f>
        <v>#REF!</v>
      </c>
      <c r="L25" s="68"/>
      <c r="M25" s="68"/>
      <c r="N25" s="68"/>
      <c r="O25" s="68"/>
      <c r="P25" s="68"/>
      <c r="Q25" s="77" t="e">
        <f t="shared" si="0"/>
        <v>#REF!</v>
      </c>
    </row>
    <row r="26" spans="1:17">
      <c r="A26" s="17"/>
      <c r="B26" s="18"/>
      <c r="C26" s="19"/>
      <c r="D26" s="22"/>
      <c r="E26" s="21"/>
      <c r="F26" s="23"/>
      <c r="G26" s="24"/>
      <c r="H26" s="25"/>
      <c r="I26" s="26"/>
      <c r="J26" s="28"/>
      <c r="K26" s="27"/>
      <c r="L26" s="19"/>
      <c r="M26" s="19"/>
      <c r="N26" s="19"/>
      <c r="O26" s="19"/>
      <c r="P26" s="19"/>
      <c r="Q26" s="20"/>
    </row>
    <row r="27" spans="1:17">
      <c r="A27" s="17"/>
      <c r="B27" s="18"/>
      <c r="C27" s="19"/>
      <c r="D27" s="22"/>
      <c r="E27" s="21"/>
      <c r="F27" s="23"/>
      <c r="G27" s="24"/>
      <c r="H27" s="25"/>
      <c r="I27" s="26"/>
      <c r="J27" s="28"/>
      <c r="K27" s="27"/>
      <c r="L27" s="19"/>
      <c r="M27" s="19"/>
      <c r="N27" s="19"/>
      <c r="O27" s="19"/>
      <c r="P27" s="19"/>
      <c r="Q27" s="20"/>
    </row>
    <row r="28" spans="1:17">
      <c r="A28" s="17"/>
      <c r="B28" s="18"/>
      <c r="C28" s="19"/>
      <c r="D28" s="22"/>
      <c r="E28" s="21"/>
      <c r="F28" s="23"/>
      <c r="G28" s="24"/>
      <c r="H28" s="25"/>
      <c r="I28" s="26"/>
      <c r="J28" s="28"/>
      <c r="K28" s="27"/>
      <c r="L28" s="19"/>
      <c r="M28" s="19"/>
      <c r="N28" s="19"/>
      <c r="O28" s="19"/>
      <c r="P28" s="19"/>
      <c r="Q28" s="20"/>
    </row>
    <row r="29" spans="1:17">
      <c r="A29" s="17"/>
      <c r="B29" s="18"/>
      <c r="C29" s="19"/>
      <c r="D29" s="22"/>
      <c r="E29" s="21"/>
      <c r="F29" s="23"/>
      <c r="G29" s="24"/>
      <c r="H29" s="25"/>
      <c r="I29" s="26"/>
      <c r="J29" s="28"/>
      <c r="K29" s="27"/>
      <c r="L29" s="19"/>
      <c r="M29" s="19"/>
      <c r="N29" s="19"/>
      <c r="O29" s="19"/>
      <c r="P29" s="19"/>
      <c r="Q29" s="20"/>
    </row>
    <row r="30" spans="1:17">
      <c r="A30" s="17"/>
      <c r="B30" s="18"/>
      <c r="C30" s="19"/>
      <c r="D30" s="22"/>
      <c r="E30" s="21"/>
      <c r="F30" s="23"/>
      <c r="G30" s="24"/>
      <c r="H30" s="25"/>
      <c r="I30" s="26"/>
      <c r="J30" s="28"/>
      <c r="K30" s="27"/>
      <c r="L30" s="19"/>
      <c r="M30" s="19"/>
      <c r="N30" s="19"/>
      <c r="O30" s="19"/>
      <c r="P30" s="19"/>
      <c r="Q30" s="20"/>
    </row>
    <row r="31" spans="1:17">
      <c r="A31" s="17"/>
      <c r="B31" s="18"/>
      <c r="C31" s="19"/>
      <c r="D31" s="22"/>
      <c r="E31" s="21"/>
      <c r="F31" s="23"/>
      <c r="G31" s="24"/>
      <c r="H31" s="25"/>
      <c r="I31" s="26"/>
      <c r="J31" s="28"/>
      <c r="K31" s="27"/>
      <c r="L31" s="19"/>
      <c r="M31" s="19"/>
      <c r="N31" s="19"/>
      <c r="O31" s="19"/>
      <c r="P31" s="19"/>
      <c r="Q31" s="20"/>
    </row>
    <row r="32" spans="1:17">
      <c r="A32" s="17"/>
      <c r="B32" s="18"/>
      <c r="C32" s="19"/>
      <c r="D32" s="22"/>
      <c r="E32" s="21"/>
      <c r="F32" s="23"/>
      <c r="G32" s="24"/>
      <c r="H32" s="25"/>
      <c r="I32" s="26"/>
      <c r="J32" s="28"/>
      <c r="K32" s="27"/>
      <c r="L32" s="19"/>
      <c r="M32" s="19"/>
      <c r="N32" s="19"/>
      <c r="O32" s="19"/>
      <c r="P32" s="19"/>
      <c r="Q32" s="20"/>
    </row>
    <row r="33" spans="1:17">
      <c r="A33" s="17"/>
      <c r="B33" s="18"/>
      <c r="C33" s="19"/>
      <c r="D33" s="22"/>
      <c r="E33" s="21"/>
      <c r="F33" s="23"/>
      <c r="G33" s="24"/>
      <c r="H33" s="25"/>
      <c r="I33" s="26"/>
      <c r="J33" s="28"/>
      <c r="K33" s="27"/>
      <c r="L33" s="19"/>
      <c r="M33" s="19"/>
      <c r="N33" s="19"/>
      <c r="O33" s="19"/>
      <c r="P33" s="19"/>
      <c r="Q33" s="20"/>
    </row>
    <row r="34" spans="1:17">
      <c r="A34" s="17"/>
      <c r="B34" s="18"/>
      <c r="C34" s="19"/>
      <c r="D34" s="22"/>
      <c r="E34" s="21"/>
      <c r="F34" s="23"/>
      <c r="G34" s="24"/>
      <c r="H34" s="25"/>
      <c r="I34" s="26"/>
      <c r="J34" s="28"/>
      <c r="K34" s="27"/>
      <c r="L34" s="19"/>
      <c r="M34" s="19"/>
      <c r="N34" s="19"/>
      <c r="O34" s="19"/>
      <c r="P34" s="19"/>
      <c r="Q34" s="20"/>
    </row>
  </sheetData>
  <mergeCells count="6">
    <mergeCell ref="A1:Q1"/>
    <mergeCell ref="C2:C3"/>
    <mergeCell ref="D2:P2"/>
    <mergeCell ref="B2:B3"/>
    <mergeCell ref="A2:A3"/>
    <mergeCell ref="Q2:Q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1"/>
  <sheetViews>
    <sheetView rightToLeft="1" workbookViewId="0">
      <pane ySplit="3" topLeftCell="A4" activePane="bottomLeft" state="frozen"/>
      <selection pane="bottomLeft" activeCell="AE28" sqref="AE28"/>
    </sheetView>
  </sheetViews>
  <sheetFormatPr defaultColWidth="9" defaultRowHeight="15"/>
  <cols>
    <col min="1" max="1" width="4.5546875" style="8" customWidth="1"/>
    <col min="2" max="2" width="10.5546875" style="10" customWidth="1"/>
    <col min="3" max="3" width="10.5546875" style="8" customWidth="1"/>
    <col min="4" max="5" width="8.109375" style="13" customWidth="1"/>
    <col min="6" max="6" width="8.109375" style="11" customWidth="1"/>
    <col min="7" max="7" width="8.109375" style="10" customWidth="1"/>
    <col min="8" max="11" width="8.109375" style="8" customWidth="1"/>
    <col min="12" max="13" width="8.109375" style="10" customWidth="1"/>
    <col min="14" max="15" width="8.109375" style="8" customWidth="1"/>
    <col min="16" max="17" width="8.109375" style="10" customWidth="1"/>
    <col min="18" max="19" width="8.109375" style="8" customWidth="1"/>
    <col min="20" max="21" width="8.109375" style="10" customWidth="1"/>
    <col min="22" max="23" width="8.109375" style="8" customWidth="1"/>
    <col min="24" max="25" width="8.109375" style="10" customWidth="1"/>
    <col min="26" max="27" width="8.109375" style="8" customWidth="1"/>
    <col min="28" max="29" width="8.109375" style="10" customWidth="1"/>
    <col min="30" max="31" width="8.109375" style="8" customWidth="1"/>
    <col min="32" max="33" width="8.109375" style="10" customWidth="1"/>
    <col min="34" max="35" width="8.109375" style="8" customWidth="1"/>
    <col min="36" max="37" width="8.109375" style="10" customWidth="1"/>
    <col min="38" max="39" width="8.109375" style="8" customWidth="1"/>
    <col min="40" max="41" width="8.109375" style="10" customWidth="1"/>
    <col min="42" max="43" width="8.109375" style="13" customWidth="1"/>
    <col min="44" max="16384" width="9" style="8"/>
  </cols>
  <sheetData>
    <row r="1" spans="1:43" ht="18.600000000000001">
      <c r="A1" s="102"/>
      <c r="B1" s="102"/>
      <c r="C1" s="102"/>
      <c r="D1" s="102"/>
      <c r="E1" s="102"/>
      <c r="F1" s="157" t="s">
        <v>11</v>
      </c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</row>
    <row r="2" spans="1:43" ht="18.600000000000001">
      <c r="A2" s="157" t="s">
        <v>6</v>
      </c>
      <c r="B2" s="159" t="s">
        <v>10</v>
      </c>
      <c r="C2" s="157" t="s">
        <v>21</v>
      </c>
      <c r="D2" s="157" t="s">
        <v>108</v>
      </c>
      <c r="E2" s="157"/>
      <c r="F2" s="159" t="s">
        <v>12</v>
      </c>
      <c r="G2" s="159"/>
      <c r="H2" s="157" t="s">
        <v>72</v>
      </c>
      <c r="I2" s="157"/>
      <c r="J2" s="157" t="s">
        <v>73</v>
      </c>
      <c r="K2" s="157"/>
      <c r="L2" s="159" t="s">
        <v>13</v>
      </c>
      <c r="M2" s="159"/>
      <c r="N2" s="157" t="s">
        <v>14</v>
      </c>
      <c r="O2" s="157"/>
      <c r="P2" s="159" t="s">
        <v>25</v>
      </c>
      <c r="Q2" s="159"/>
      <c r="R2" s="157" t="s">
        <v>24</v>
      </c>
      <c r="S2" s="157"/>
      <c r="T2" s="159" t="s">
        <v>26</v>
      </c>
      <c r="U2" s="159"/>
      <c r="V2" s="157" t="s">
        <v>33</v>
      </c>
      <c r="W2" s="157"/>
      <c r="X2" s="159" t="s">
        <v>15</v>
      </c>
      <c r="Y2" s="159"/>
      <c r="Z2" s="157" t="s">
        <v>27</v>
      </c>
      <c r="AA2" s="157"/>
      <c r="AB2" s="159" t="s">
        <v>16</v>
      </c>
      <c r="AC2" s="159"/>
      <c r="AD2" s="157" t="s">
        <v>17</v>
      </c>
      <c r="AE2" s="157"/>
      <c r="AF2" s="159" t="s">
        <v>18</v>
      </c>
      <c r="AG2" s="159"/>
      <c r="AH2" s="157" t="s">
        <v>19</v>
      </c>
      <c r="AI2" s="157"/>
      <c r="AJ2" s="159" t="s">
        <v>28</v>
      </c>
      <c r="AK2" s="159"/>
      <c r="AL2" s="157" t="s">
        <v>20</v>
      </c>
      <c r="AM2" s="157"/>
      <c r="AN2" s="159" t="s">
        <v>46</v>
      </c>
      <c r="AO2" s="159"/>
      <c r="AP2" s="157" t="s">
        <v>109</v>
      </c>
      <c r="AQ2" s="157"/>
    </row>
    <row r="3" spans="1:43" ht="16.2">
      <c r="A3" s="157"/>
      <c r="B3" s="159"/>
      <c r="C3" s="157"/>
      <c r="D3" s="158" t="s">
        <v>56</v>
      </c>
      <c r="E3" s="158"/>
      <c r="F3" s="160" t="s">
        <v>56</v>
      </c>
      <c r="G3" s="160"/>
      <c r="H3" s="158" t="s">
        <v>56</v>
      </c>
      <c r="I3" s="158"/>
      <c r="J3" s="158" t="s">
        <v>56</v>
      </c>
      <c r="K3" s="158"/>
      <c r="L3" s="160" t="s">
        <v>22</v>
      </c>
      <c r="M3" s="160"/>
      <c r="N3" s="158" t="s">
        <v>22</v>
      </c>
      <c r="O3" s="158"/>
      <c r="P3" s="160" t="s">
        <v>22</v>
      </c>
      <c r="Q3" s="160"/>
      <c r="R3" s="158" t="s">
        <v>23</v>
      </c>
      <c r="S3" s="158"/>
      <c r="T3" s="160" t="s">
        <v>23</v>
      </c>
      <c r="U3" s="160"/>
      <c r="V3" s="158" t="s">
        <v>22</v>
      </c>
      <c r="W3" s="158"/>
      <c r="X3" s="160" t="s">
        <v>23</v>
      </c>
      <c r="Y3" s="160"/>
      <c r="Z3" s="158" t="s">
        <v>23</v>
      </c>
      <c r="AA3" s="158"/>
      <c r="AB3" s="160" t="s">
        <v>23</v>
      </c>
      <c r="AC3" s="160"/>
      <c r="AD3" s="158" t="s">
        <v>41</v>
      </c>
      <c r="AE3" s="158"/>
      <c r="AF3" s="160" t="s">
        <v>23</v>
      </c>
      <c r="AG3" s="160"/>
      <c r="AH3" s="158" t="s">
        <v>23</v>
      </c>
      <c r="AI3" s="158"/>
      <c r="AJ3" s="160" t="s">
        <v>23</v>
      </c>
      <c r="AK3" s="160"/>
      <c r="AL3" s="158" t="s">
        <v>8</v>
      </c>
      <c r="AM3" s="158"/>
      <c r="AN3" s="160" t="s">
        <v>41</v>
      </c>
      <c r="AO3" s="160"/>
      <c r="AP3" s="158" t="s">
        <v>23</v>
      </c>
      <c r="AQ3" s="158"/>
    </row>
    <row r="4" spans="1:43" ht="18.600000000000001">
      <c r="A4" s="102">
        <v>1</v>
      </c>
      <c r="B4" s="159"/>
      <c r="C4" s="102"/>
      <c r="D4" s="102"/>
      <c r="E4" s="102"/>
      <c r="F4" s="103"/>
      <c r="G4" s="104"/>
      <c r="H4" s="102"/>
      <c r="I4" s="102"/>
      <c r="J4" s="102"/>
      <c r="K4" s="102"/>
      <c r="L4" s="105"/>
      <c r="M4" s="105"/>
      <c r="N4" s="102"/>
      <c r="O4" s="102"/>
      <c r="P4" s="106"/>
      <c r="Q4" s="104"/>
      <c r="R4" s="107"/>
      <c r="S4" s="108"/>
      <c r="T4" s="105"/>
      <c r="U4" s="105"/>
      <c r="V4" s="107"/>
      <c r="W4" s="102"/>
      <c r="X4" s="105"/>
      <c r="Y4" s="105"/>
      <c r="Z4" s="109"/>
      <c r="AA4" s="108"/>
      <c r="AB4" s="105"/>
      <c r="AC4" s="105"/>
      <c r="AD4" s="110"/>
      <c r="AE4" s="108"/>
      <c r="AF4" s="105"/>
      <c r="AG4" s="105"/>
      <c r="AH4" s="102"/>
      <c r="AI4" s="102"/>
      <c r="AJ4" s="106"/>
      <c r="AK4" s="104"/>
      <c r="AL4" s="111"/>
      <c r="AM4" s="108"/>
      <c r="AN4" s="106"/>
      <c r="AO4" s="104" t="str">
        <f>'ابنیه-1'!H32</f>
        <v>1399/01/01</v>
      </c>
      <c r="AP4" s="111"/>
      <c r="AQ4" s="108"/>
    </row>
    <row r="5" spans="1:43" ht="18.600000000000001">
      <c r="A5" s="102">
        <v>2</v>
      </c>
      <c r="B5" s="159"/>
      <c r="C5" s="102"/>
      <c r="D5" s="102"/>
      <c r="E5" s="102"/>
      <c r="F5" s="103"/>
      <c r="G5" s="104"/>
      <c r="H5" s="102"/>
      <c r="I5" s="102"/>
      <c r="J5" s="102"/>
      <c r="K5" s="102"/>
      <c r="L5" s="105"/>
      <c r="M5" s="105"/>
      <c r="N5" s="102"/>
      <c r="O5" s="102"/>
      <c r="P5" s="106"/>
      <c r="Q5" s="104"/>
      <c r="R5" s="102"/>
      <c r="S5" s="102"/>
      <c r="T5" s="105"/>
      <c r="U5" s="105"/>
      <c r="V5" s="107"/>
      <c r="W5" s="102"/>
      <c r="X5" s="105"/>
      <c r="Y5" s="105"/>
      <c r="Z5" s="109"/>
      <c r="AA5" s="108"/>
      <c r="AB5" s="105"/>
      <c r="AC5" s="105"/>
      <c r="AD5" s="110"/>
      <c r="AE5" s="108"/>
      <c r="AF5" s="105"/>
      <c r="AG5" s="105"/>
      <c r="AH5" s="102"/>
      <c r="AI5" s="102"/>
      <c r="AJ5" s="106"/>
      <c r="AK5" s="104"/>
      <c r="AL5" s="102"/>
      <c r="AM5" s="102"/>
      <c r="AN5" s="106"/>
      <c r="AO5" s="104" t="str">
        <f>'ابنیه-1'!H33</f>
        <v>1399/01/01</v>
      </c>
      <c r="AP5" s="102"/>
      <c r="AQ5" s="102"/>
    </row>
    <row r="6" spans="1:43" ht="18.600000000000001">
      <c r="A6" s="102">
        <v>3</v>
      </c>
      <c r="B6" s="159"/>
      <c r="C6" s="102"/>
      <c r="D6" s="102"/>
      <c r="E6" s="102"/>
      <c r="F6" s="103"/>
      <c r="G6" s="105"/>
      <c r="H6" s="102"/>
      <c r="I6" s="102"/>
      <c r="J6" s="102"/>
      <c r="K6" s="102"/>
      <c r="L6" s="105"/>
      <c r="M6" s="105"/>
      <c r="N6" s="102"/>
      <c r="O6" s="102"/>
      <c r="P6" s="106"/>
      <c r="Q6" s="104"/>
      <c r="R6" s="102"/>
      <c r="S6" s="102"/>
      <c r="T6" s="105"/>
      <c r="U6" s="105"/>
      <c r="V6" s="102"/>
      <c r="W6" s="102"/>
      <c r="X6" s="105"/>
      <c r="Y6" s="105"/>
      <c r="Z6" s="109"/>
      <c r="AA6" s="108"/>
      <c r="AB6" s="105"/>
      <c r="AC6" s="105"/>
      <c r="AD6" s="110"/>
      <c r="AE6" s="108"/>
      <c r="AF6" s="105"/>
      <c r="AG6" s="105"/>
      <c r="AH6" s="102"/>
      <c r="AI6" s="102"/>
      <c r="AJ6" s="106"/>
      <c r="AK6" s="104"/>
      <c r="AL6" s="102"/>
      <c r="AM6" s="102"/>
      <c r="AN6" s="106"/>
      <c r="AO6" s="104" t="str">
        <f>'ابنیه-1'!H34</f>
        <v>1399/01/01</v>
      </c>
      <c r="AP6" s="102"/>
      <c r="AQ6" s="102"/>
    </row>
    <row r="7" spans="1:43" ht="18.600000000000001">
      <c r="A7" s="102">
        <v>4</v>
      </c>
      <c r="B7" s="159"/>
      <c r="C7" s="102"/>
      <c r="D7" s="102"/>
      <c r="E7" s="102"/>
      <c r="F7" s="103"/>
      <c r="G7" s="105"/>
      <c r="H7" s="102"/>
      <c r="I7" s="102"/>
      <c r="J7" s="102"/>
      <c r="K7" s="102"/>
      <c r="L7" s="105"/>
      <c r="M7" s="105"/>
      <c r="N7" s="102"/>
      <c r="O7" s="102"/>
      <c r="P7" s="105"/>
      <c r="Q7" s="105"/>
      <c r="R7" s="102"/>
      <c r="S7" s="102"/>
      <c r="T7" s="105"/>
      <c r="U7" s="105"/>
      <c r="V7" s="102"/>
      <c r="W7" s="102"/>
      <c r="X7" s="105"/>
      <c r="Y7" s="105"/>
      <c r="Z7" s="109"/>
      <c r="AA7" s="102"/>
      <c r="AB7" s="105"/>
      <c r="AC7" s="105"/>
      <c r="AD7" s="110"/>
      <c r="AE7" s="108"/>
      <c r="AF7" s="105"/>
      <c r="AG7" s="105"/>
      <c r="AH7" s="102"/>
      <c r="AI7" s="102"/>
      <c r="AJ7" s="112"/>
      <c r="AK7" s="105"/>
      <c r="AL7" s="102"/>
      <c r="AM7" s="102"/>
      <c r="AN7" s="106"/>
      <c r="AO7" s="104" t="str">
        <f>'ابنیه-1'!H35</f>
        <v>1399/01/01</v>
      </c>
      <c r="AP7" s="102"/>
      <c r="AQ7" s="102"/>
    </row>
    <row r="8" spans="1:43" ht="18.600000000000001">
      <c r="A8" s="102">
        <v>5</v>
      </c>
      <c r="B8" s="159"/>
      <c r="C8" s="102"/>
      <c r="D8" s="102"/>
      <c r="E8" s="102"/>
      <c r="F8" s="103"/>
      <c r="G8" s="105"/>
      <c r="H8" s="102"/>
      <c r="I8" s="102"/>
      <c r="J8" s="102"/>
      <c r="K8" s="102"/>
      <c r="L8" s="105"/>
      <c r="M8" s="105"/>
      <c r="N8" s="102"/>
      <c r="O8" s="102"/>
      <c r="P8" s="105"/>
      <c r="Q8" s="105"/>
      <c r="R8" s="102"/>
      <c r="S8" s="102"/>
      <c r="T8" s="105"/>
      <c r="U8" s="105"/>
      <c r="V8" s="102"/>
      <c r="W8" s="102"/>
      <c r="X8" s="105"/>
      <c r="Y8" s="105"/>
      <c r="Z8" s="109"/>
      <c r="AA8" s="102"/>
      <c r="AB8" s="105"/>
      <c r="AC8" s="105"/>
      <c r="AD8" s="110"/>
      <c r="AE8" s="108"/>
      <c r="AF8" s="105"/>
      <c r="AG8" s="105"/>
      <c r="AH8" s="102"/>
      <c r="AI8" s="102"/>
      <c r="AJ8" s="112"/>
      <c r="AK8" s="105"/>
      <c r="AL8" s="102"/>
      <c r="AM8" s="102"/>
      <c r="AN8" s="106"/>
      <c r="AO8" s="104" t="str">
        <f>'ابنیه-1'!H36</f>
        <v>1399/01/01</v>
      </c>
      <c r="AP8" s="102"/>
      <c r="AQ8" s="102"/>
    </row>
    <row r="9" spans="1:43" ht="18.600000000000001">
      <c r="A9" s="102">
        <v>6</v>
      </c>
      <c r="B9" s="159"/>
      <c r="C9" s="102"/>
      <c r="D9" s="113"/>
      <c r="E9" s="102"/>
      <c r="F9" s="103"/>
      <c r="G9" s="105"/>
      <c r="H9" s="113"/>
      <c r="I9" s="102"/>
      <c r="J9" s="113"/>
      <c r="K9" s="102"/>
      <c r="L9" s="105"/>
      <c r="M9" s="105"/>
      <c r="N9" s="102"/>
      <c r="O9" s="102"/>
      <c r="P9" s="106"/>
      <c r="Q9" s="105"/>
      <c r="R9" s="107"/>
      <c r="S9" s="102"/>
      <c r="T9" s="105"/>
      <c r="U9" s="105"/>
      <c r="V9" s="102"/>
      <c r="W9" s="102"/>
      <c r="X9" s="105"/>
      <c r="Y9" s="105"/>
      <c r="Z9" s="109"/>
      <c r="AA9" s="102"/>
      <c r="AB9" s="105"/>
      <c r="AC9" s="105"/>
      <c r="AD9" s="110"/>
      <c r="AE9" s="114"/>
      <c r="AF9" s="105"/>
      <c r="AG9" s="105"/>
      <c r="AH9" s="102"/>
      <c r="AI9" s="102"/>
      <c r="AJ9" s="106"/>
      <c r="AK9" s="105"/>
      <c r="AL9" s="102"/>
      <c r="AM9" s="102"/>
      <c r="AN9" s="106"/>
      <c r="AO9" s="115" t="str">
        <f>'ابنیه-2'!H14</f>
        <v>95/2/1</v>
      </c>
      <c r="AP9" s="102"/>
      <c r="AQ9" s="102"/>
    </row>
    <row r="10" spans="1:43" ht="18.600000000000001">
      <c r="A10" s="102">
        <v>7</v>
      </c>
      <c r="B10" s="159"/>
      <c r="C10" s="102"/>
      <c r="D10" s="113"/>
      <c r="E10" s="102"/>
      <c r="F10" s="103"/>
      <c r="G10" s="105"/>
      <c r="H10" s="113"/>
      <c r="I10" s="102"/>
      <c r="J10" s="113"/>
      <c r="K10" s="102"/>
      <c r="L10" s="105"/>
      <c r="M10" s="105"/>
      <c r="N10" s="102"/>
      <c r="O10" s="102"/>
      <c r="P10" s="106"/>
      <c r="Q10" s="105"/>
      <c r="R10" s="107"/>
      <c r="S10" s="102"/>
      <c r="T10" s="105"/>
      <c r="U10" s="105"/>
      <c r="V10" s="102"/>
      <c r="W10" s="102"/>
      <c r="X10" s="105"/>
      <c r="Y10" s="105"/>
      <c r="Z10" s="109"/>
      <c r="AA10" s="102"/>
      <c r="AB10" s="105"/>
      <c r="AC10" s="105"/>
      <c r="AD10" s="110"/>
      <c r="AE10" s="114"/>
      <c r="AF10" s="105"/>
      <c r="AG10" s="105"/>
      <c r="AH10" s="102"/>
      <c r="AI10" s="102"/>
      <c r="AJ10" s="106"/>
      <c r="AK10" s="105"/>
      <c r="AL10" s="102"/>
      <c r="AM10" s="102"/>
      <c r="AN10" s="106"/>
      <c r="AO10" s="115" t="str">
        <f>'ابنیه-2'!H15</f>
        <v>95/2/2</v>
      </c>
      <c r="AP10" s="102"/>
      <c r="AQ10" s="102"/>
    </row>
    <row r="11" spans="1:43" ht="18.600000000000001">
      <c r="A11" s="102">
        <v>8</v>
      </c>
      <c r="B11" s="159"/>
      <c r="C11" s="102"/>
      <c r="D11" s="113"/>
      <c r="E11" s="102"/>
      <c r="F11" s="103"/>
      <c r="G11" s="105"/>
      <c r="H11" s="113"/>
      <c r="I11" s="102"/>
      <c r="J11" s="102"/>
      <c r="K11" s="102"/>
      <c r="L11" s="105"/>
      <c r="M11" s="105"/>
      <c r="N11" s="102"/>
      <c r="O11" s="102"/>
      <c r="P11" s="106"/>
      <c r="Q11" s="105"/>
      <c r="R11" s="107"/>
      <c r="S11" s="102"/>
      <c r="T11" s="105"/>
      <c r="U11" s="105"/>
      <c r="V11" s="102"/>
      <c r="W11" s="102"/>
      <c r="X11" s="105"/>
      <c r="Y11" s="105"/>
      <c r="Z11" s="109"/>
      <c r="AA11" s="102"/>
      <c r="AB11" s="105"/>
      <c r="AC11" s="105"/>
      <c r="AD11" s="110"/>
      <c r="AE11" s="114"/>
      <c r="AF11" s="105"/>
      <c r="AG11" s="105"/>
      <c r="AH11" s="102"/>
      <c r="AI11" s="102"/>
      <c r="AJ11" s="112"/>
      <c r="AK11" s="105"/>
      <c r="AL11" s="102"/>
      <c r="AM11" s="102"/>
      <c r="AN11" s="106"/>
      <c r="AO11" s="115" t="str">
        <f>'ابنیه-2'!H16</f>
        <v>95/2/2</v>
      </c>
      <c r="AP11" s="102"/>
      <c r="AQ11" s="102"/>
    </row>
    <row r="12" spans="1:43" ht="18.600000000000001">
      <c r="A12" s="102">
        <v>9</v>
      </c>
      <c r="B12" s="159"/>
      <c r="C12" s="102"/>
      <c r="D12" s="113"/>
      <c r="E12" s="102"/>
      <c r="F12" s="103"/>
      <c r="G12" s="105"/>
      <c r="H12" s="113"/>
      <c r="I12" s="102"/>
      <c r="J12" s="102"/>
      <c r="K12" s="102"/>
      <c r="L12" s="105"/>
      <c r="M12" s="105"/>
      <c r="N12" s="102"/>
      <c r="O12" s="102"/>
      <c r="P12" s="106"/>
      <c r="Q12" s="105"/>
      <c r="R12" s="107"/>
      <c r="S12" s="102"/>
      <c r="T12" s="105"/>
      <c r="U12" s="105"/>
      <c r="V12" s="102"/>
      <c r="W12" s="102"/>
      <c r="X12" s="105"/>
      <c r="Y12" s="105"/>
      <c r="Z12" s="109"/>
      <c r="AA12" s="102"/>
      <c r="AB12" s="105"/>
      <c r="AC12" s="105"/>
      <c r="AD12" s="110"/>
      <c r="AE12" s="108"/>
      <c r="AF12" s="105"/>
      <c r="AG12" s="105"/>
      <c r="AH12" s="102"/>
      <c r="AI12" s="102"/>
      <c r="AJ12" s="112"/>
      <c r="AK12" s="105"/>
      <c r="AL12" s="102"/>
      <c r="AM12" s="102"/>
      <c r="AN12" s="106"/>
      <c r="AO12" s="115" t="str">
        <f>'ابنیه-2'!H17</f>
        <v>95/2/2</v>
      </c>
      <c r="AP12" s="102"/>
      <c r="AQ12" s="102"/>
    </row>
    <row r="13" spans="1:43" ht="18.600000000000001">
      <c r="A13" s="102">
        <v>10</v>
      </c>
      <c r="B13" s="159"/>
      <c r="C13" s="102"/>
      <c r="D13" s="113"/>
      <c r="E13" s="102"/>
      <c r="F13" s="103"/>
      <c r="G13" s="105"/>
      <c r="H13" s="113"/>
      <c r="I13" s="102"/>
      <c r="J13" s="102"/>
      <c r="K13" s="102"/>
      <c r="L13" s="105"/>
      <c r="M13" s="105"/>
      <c r="N13" s="102"/>
      <c r="O13" s="102"/>
      <c r="P13" s="105"/>
      <c r="Q13" s="105"/>
      <c r="R13" s="107"/>
      <c r="S13" s="102"/>
      <c r="T13" s="105"/>
      <c r="U13" s="105"/>
      <c r="V13" s="102"/>
      <c r="W13" s="102"/>
      <c r="X13" s="105"/>
      <c r="Y13" s="105"/>
      <c r="Z13" s="109"/>
      <c r="AA13" s="102"/>
      <c r="AB13" s="105"/>
      <c r="AC13" s="105"/>
      <c r="AD13" s="110"/>
      <c r="AE13" s="108"/>
      <c r="AF13" s="105"/>
      <c r="AG13" s="105"/>
      <c r="AH13" s="102"/>
      <c r="AI13" s="102"/>
      <c r="AJ13" s="112"/>
      <c r="AK13" s="105"/>
      <c r="AL13" s="102"/>
      <c r="AM13" s="102"/>
      <c r="AN13" s="106"/>
      <c r="AO13" s="115" t="str">
        <f>'ابنیه-2'!H18</f>
        <v>95/2/2</v>
      </c>
      <c r="AP13" s="102"/>
      <c r="AQ13" s="102"/>
    </row>
    <row r="14" spans="1:43" ht="18.600000000000001">
      <c r="A14" s="102">
        <v>11</v>
      </c>
      <c r="B14" s="159"/>
      <c r="C14" s="102"/>
      <c r="D14" s="113"/>
      <c r="E14" s="102"/>
      <c r="F14" s="103"/>
      <c r="G14" s="105"/>
      <c r="H14" s="113"/>
      <c r="I14" s="102"/>
      <c r="J14" s="102"/>
      <c r="K14" s="102"/>
      <c r="L14" s="105"/>
      <c r="M14" s="105"/>
      <c r="N14" s="102"/>
      <c r="O14" s="102"/>
      <c r="P14" s="105"/>
      <c r="Q14" s="105"/>
      <c r="R14" s="107"/>
      <c r="S14" s="102"/>
      <c r="T14" s="105"/>
      <c r="U14" s="105"/>
      <c r="V14" s="102"/>
      <c r="W14" s="102"/>
      <c r="X14" s="105"/>
      <c r="Y14" s="105"/>
      <c r="Z14" s="109"/>
      <c r="AA14" s="102"/>
      <c r="AB14" s="105"/>
      <c r="AC14" s="105"/>
      <c r="AD14" s="110"/>
      <c r="AE14" s="108"/>
      <c r="AF14" s="105"/>
      <c r="AG14" s="105"/>
      <c r="AH14" s="102"/>
      <c r="AI14" s="102"/>
      <c r="AJ14" s="112"/>
      <c r="AK14" s="105"/>
      <c r="AL14" s="102"/>
      <c r="AM14" s="102"/>
      <c r="AN14" s="106"/>
      <c r="AO14" s="115" t="str">
        <f>'ابنیه-2'!H19</f>
        <v>95/2/4</v>
      </c>
      <c r="AP14" s="102"/>
      <c r="AQ14" s="102"/>
    </row>
    <row r="15" spans="1:43" s="9" customFormat="1" ht="18.600000000000001">
      <c r="A15" s="113">
        <v>12</v>
      </c>
      <c r="B15" s="161"/>
      <c r="C15" s="113"/>
      <c r="D15" s="113"/>
      <c r="E15" s="113"/>
      <c r="F15" s="103"/>
      <c r="G15" s="103"/>
      <c r="H15" s="113"/>
      <c r="I15" s="113"/>
      <c r="J15" s="113"/>
      <c r="K15" s="113"/>
      <c r="L15" s="103"/>
      <c r="M15" s="103"/>
      <c r="N15" s="113"/>
      <c r="O15" s="113"/>
      <c r="P15" s="116"/>
      <c r="Q15" s="116"/>
      <c r="R15" s="110"/>
      <c r="S15" s="110"/>
      <c r="T15" s="103"/>
      <c r="U15" s="103"/>
      <c r="V15" s="110"/>
      <c r="W15" s="110"/>
      <c r="X15" s="116"/>
      <c r="Y15" s="116"/>
      <c r="Z15" s="110"/>
      <c r="AA15" s="110"/>
      <c r="AB15" s="116"/>
      <c r="AC15" s="116"/>
      <c r="AD15" s="110"/>
      <c r="AE15" s="110"/>
      <c r="AF15" s="116"/>
      <c r="AG15" s="116"/>
      <c r="AH15" s="110"/>
      <c r="AI15" s="110"/>
      <c r="AJ15" s="116"/>
      <c r="AK15" s="116"/>
      <c r="AL15" s="113"/>
      <c r="AM15" s="110"/>
      <c r="AN15" s="116"/>
      <c r="AO15" s="103"/>
      <c r="AP15" s="113">
        <f>'ابنیه-3'!J15</f>
        <v>0</v>
      </c>
      <c r="AQ15" s="110">
        <f>'ابنیه-3'!L15</f>
        <v>0</v>
      </c>
    </row>
    <row r="16" spans="1:43" ht="18.600000000000001">
      <c r="A16" s="102">
        <v>13</v>
      </c>
      <c r="B16" s="161"/>
      <c r="C16" s="102"/>
      <c r="D16" s="113"/>
      <c r="E16" s="108"/>
      <c r="F16" s="103"/>
      <c r="G16" s="105"/>
      <c r="H16" s="113"/>
      <c r="I16" s="108"/>
      <c r="J16" s="102"/>
      <c r="K16" s="102"/>
      <c r="L16" s="105"/>
      <c r="M16" s="105"/>
      <c r="N16" s="102"/>
      <c r="O16" s="102"/>
      <c r="P16" s="105"/>
      <c r="Q16" s="105"/>
      <c r="R16" s="102"/>
      <c r="S16" s="102"/>
      <c r="T16" s="105"/>
      <c r="U16" s="105"/>
      <c r="V16" s="102"/>
      <c r="W16" s="102"/>
      <c r="X16" s="105"/>
      <c r="Y16" s="105"/>
      <c r="Z16" s="102"/>
      <c r="AA16" s="102"/>
      <c r="AB16" s="105"/>
      <c r="AC16" s="105"/>
      <c r="AD16" s="110"/>
      <c r="AE16" s="102"/>
      <c r="AF16" s="105"/>
      <c r="AG16" s="105"/>
      <c r="AH16" s="102"/>
      <c r="AI16" s="102"/>
      <c r="AJ16" s="116"/>
      <c r="AK16" s="116"/>
      <c r="AL16" s="102"/>
      <c r="AM16" s="102"/>
      <c r="AN16" s="105"/>
      <c r="AO16" s="105"/>
      <c r="AP16" s="102"/>
      <c r="AQ16" s="102"/>
    </row>
    <row r="17" spans="1:43" ht="18.600000000000001">
      <c r="A17" s="102">
        <v>14</v>
      </c>
      <c r="B17" s="161"/>
      <c r="C17" s="102"/>
      <c r="D17" s="113"/>
      <c r="E17" s="102"/>
      <c r="F17" s="103"/>
      <c r="G17" s="105"/>
      <c r="H17" s="113"/>
      <c r="I17" s="102"/>
      <c r="J17" s="113"/>
      <c r="K17" s="102"/>
      <c r="L17" s="105"/>
      <c r="M17" s="105"/>
      <c r="N17" s="102"/>
      <c r="O17" s="102"/>
      <c r="P17" s="105"/>
      <c r="Q17" s="105"/>
      <c r="R17" s="102"/>
      <c r="S17" s="102"/>
      <c r="T17" s="105"/>
      <c r="U17" s="105"/>
      <c r="V17" s="102"/>
      <c r="W17" s="102"/>
      <c r="X17" s="105"/>
      <c r="Y17" s="105"/>
      <c r="Z17" s="102"/>
      <c r="AA17" s="102"/>
      <c r="AB17" s="105"/>
      <c r="AC17" s="105"/>
      <c r="AD17" s="102"/>
      <c r="AE17" s="102"/>
      <c r="AF17" s="105"/>
      <c r="AG17" s="105"/>
      <c r="AH17" s="102"/>
      <c r="AI17" s="102"/>
      <c r="AJ17" s="116"/>
      <c r="AK17" s="116"/>
      <c r="AL17" s="102"/>
      <c r="AM17" s="102"/>
      <c r="AN17" s="105"/>
      <c r="AO17" s="105"/>
      <c r="AP17" s="102"/>
      <c r="AQ17" s="102"/>
    </row>
    <row r="18" spans="1:43" ht="18.600000000000001">
      <c r="A18" s="102">
        <v>15</v>
      </c>
      <c r="B18" s="103"/>
      <c r="C18" s="102"/>
      <c r="D18" s="113"/>
      <c r="E18" s="117"/>
      <c r="F18" s="103"/>
      <c r="G18" s="118"/>
      <c r="H18" s="113"/>
      <c r="I18" s="117"/>
      <c r="J18" s="113"/>
      <c r="K18" s="102"/>
      <c r="L18" s="105"/>
      <c r="M18" s="105"/>
      <c r="N18" s="102"/>
      <c r="O18" s="102"/>
      <c r="P18" s="106"/>
      <c r="Q18" s="105"/>
      <c r="R18" s="102"/>
      <c r="S18" s="102"/>
      <c r="T18" s="105"/>
      <c r="U18" s="105"/>
      <c r="V18" s="102"/>
      <c r="W18" s="102"/>
      <c r="X18" s="105"/>
      <c r="Y18" s="105"/>
      <c r="Z18" s="109"/>
      <c r="AA18" s="102"/>
      <c r="AB18" s="105"/>
      <c r="AC18" s="105"/>
      <c r="AD18" s="110"/>
      <c r="AE18" s="108"/>
      <c r="AF18" s="105"/>
      <c r="AG18" s="105"/>
      <c r="AH18" s="102"/>
      <c r="AI18" s="102"/>
      <c r="AJ18" s="106"/>
      <c r="AK18" s="105"/>
      <c r="AL18" s="111"/>
      <c r="AM18" s="102"/>
      <c r="AN18" s="106"/>
      <c r="AO18" s="105"/>
      <c r="AP18" s="111"/>
      <c r="AQ18" s="102"/>
    </row>
    <row r="19" spans="1:43" ht="18.600000000000001">
      <c r="A19" s="102">
        <v>16</v>
      </c>
      <c r="B19" s="119"/>
      <c r="C19" s="102"/>
      <c r="D19" s="102"/>
      <c r="E19" s="102"/>
      <c r="F19" s="103"/>
      <c r="G19" s="105"/>
      <c r="H19" s="102"/>
      <c r="I19" s="102"/>
      <c r="J19" s="102"/>
      <c r="K19" s="102"/>
      <c r="L19" s="105"/>
      <c r="M19" s="105"/>
      <c r="N19" s="102"/>
      <c r="O19" s="102"/>
      <c r="P19" s="106"/>
      <c r="Q19" s="105"/>
      <c r="R19" s="102"/>
      <c r="S19" s="102"/>
      <c r="T19" s="105"/>
      <c r="U19" s="105"/>
      <c r="V19" s="102"/>
      <c r="W19" s="102"/>
      <c r="X19" s="105"/>
      <c r="Y19" s="105"/>
      <c r="Z19" s="109"/>
      <c r="AA19" s="102"/>
      <c r="AB19" s="105"/>
      <c r="AC19" s="105"/>
      <c r="AD19" s="110"/>
      <c r="AE19" s="108"/>
      <c r="AF19" s="105"/>
      <c r="AG19" s="105"/>
      <c r="AH19" s="102"/>
      <c r="AI19" s="102"/>
      <c r="AJ19" s="106"/>
      <c r="AK19" s="105"/>
      <c r="AL19" s="102"/>
      <c r="AM19" s="102"/>
      <c r="AN19" s="105"/>
      <c r="AO19" s="105"/>
      <c r="AP19" s="102"/>
      <c r="AQ19" s="102"/>
    </row>
    <row r="20" spans="1:43" ht="18.600000000000001">
      <c r="A20" s="102">
        <v>17</v>
      </c>
      <c r="B20" s="119"/>
      <c r="C20" s="102"/>
      <c r="D20" s="102"/>
      <c r="E20" s="102"/>
      <c r="F20" s="103"/>
      <c r="G20" s="105"/>
      <c r="H20" s="102"/>
      <c r="I20" s="102"/>
      <c r="J20" s="102"/>
      <c r="K20" s="102"/>
      <c r="L20" s="105"/>
      <c r="M20" s="105"/>
      <c r="N20" s="102"/>
      <c r="O20" s="102"/>
      <c r="P20" s="105"/>
      <c r="Q20" s="105"/>
      <c r="R20" s="102"/>
      <c r="S20" s="102"/>
      <c r="T20" s="105"/>
      <c r="U20" s="105"/>
      <c r="V20" s="102"/>
      <c r="W20" s="102"/>
      <c r="X20" s="105"/>
      <c r="Y20" s="105"/>
      <c r="Z20" s="102"/>
      <c r="AA20" s="102"/>
      <c r="AB20" s="105"/>
      <c r="AC20" s="105"/>
      <c r="AD20" s="110"/>
      <c r="AE20" s="108"/>
      <c r="AF20" s="105"/>
      <c r="AG20" s="105"/>
      <c r="AH20" s="102"/>
      <c r="AI20" s="102"/>
      <c r="AJ20" s="105"/>
      <c r="AK20" s="105"/>
      <c r="AL20" s="102"/>
      <c r="AM20" s="102"/>
      <c r="AN20" s="105"/>
      <c r="AO20" s="105"/>
      <c r="AP20" s="102"/>
      <c r="AQ20" s="102"/>
    </row>
    <row r="21" spans="1:43" ht="18.600000000000001">
      <c r="A21" s="102">
        <v>18</v>
      </c>
      <c r="B21" s="119"/>
      <c r="C21" s="102"/>
      <c r="D21" s="102"/>
      <c r="E21" s="102"/>
      <c r="F21" s="103"/>
      <c r="G21" s="105"/>
      <c r="H21" s="102"/>
      <c r="I21" s="102"/>
      <c r="J21" s="102"/>
      <c r="K21" s="102"/>
      <c r="L21" s="105"/>
      <c r="M21" s="105"/>
      <c r="N21" s="102"/>
      <c r="O21" s="102"/>
      <c r="P21" s="105"/>
      <c r="Q21" s="105"/>
      <c r="R21" s="102"/>
      <c r="S21" s="102"/>
      <c r="T21" s="105"/>
      <c r="U21" s="105"/>
      <c r="V21" s="102"/>
      <c r="W21" s="102"/>
      <c r="X21" s="105"/>
      <c r="Y21" s="105"/>
      <c r="Z21" s="102"/>
      <c r="AA21" s="102"/>
      <c r="AB21" s="105"/>
      <c r="AC21" s="105"/>
      <c r="AD21" s="110"/>
      <c r="AE21" s="108"/>
      <c r="AF21" s="105"/>
      <c r="AG21" s="105"/>
      <c r="AH21" s="102"/>
      <c r="AI21" s="102"/>
      <c r="AJ21" s="105"/>
      <c r="AK21" s="105"/>
      <c r="AL21" s="102"/>
      <c r="AM21" s="102"/>
      <c r="AN21" s="105"/>
      <c r="AO21" s="105"/>
      <c r="AP21" s="102"/>
      <c r="AQ21" s="102"/>
    </row>
    <row r="22" spans="1:43" ht="18.600000000000001">
      <c r="A22" s="102">
        <v>19</v>
      </c>
      <c r="B22" s="119"/>
      <c r="C22" s="102"/>
      <c r="D22" s="102"/>
      <c r="E22" s="102"/>
      <c r="F22" s="103"/>
      <c r="G22" s="105"/>
      <c r="H22" s="102"/>
      <c r="I22" s="102"/>
      <c r="J22" s="102"/>
      <c r="K22" s="102"/>
      <c r="L22" s="105"/>
      <c r="M22" s="105"/>
      <c r="N22" s="102"/>
      <c r="O22" s="102"/>
      <c r="P22" s="105"/>
      <c r="Q22" s="105"/>
      <c r="R22" s="102"/>
      <c r="S22" s="102"/>
      <c r="T22" s="105"/>
      <c r="U22" s="105"/>
      <c r="V22" s="102"/>
      <c r="W22" s="102"/>
      <c r="X22" s="105"/>
      <c r="Y22" s="105"/>
      <c r="Z22" s="102"/>
      <c r="AA22" s="102"/>
      <c r="AB22" s="105"/>
      <c r="AC22" s="105"/>
      <c r="AD22" s="110"/>
      <c r="AE22" s="108"/>
      <c r="AF22" s="105"/>
      <c r="AG22" s="105"/>
      <c r="AH22" s="102"/>
      <c r="AI22" s="102"/>
      <c r="AJ22" s="105"/>
      <c r="AK22" s="105"/>
      <c r="AL22" s="102"/>
      <c r="AM22" s="102"/>
      <c r="AN22" s="105"/>
      <c r="AO22" s="105"/>
      <c r="AP22" s="102"/>
      <c r="AQ22" s="102"/>
    </row>
    <row r="23" spans="1:43" ht="18.600000000000001">
      <c r="A23" s="102">
        <v>20</v>
      </c>
      <c r="B23" s="119"/>
      <c r="C23" s="102"/>
      <c r="D23" s="102"/>
      <c r="E23" s="102"/>
      <c r="F23" s="103"/>
      <c r="G23" s="105"/>
      <c r="H23" s="102"/>
      <c r="I23" s="102"/>
      <c r="J23" s="102"/>
      <c r="K23" s="102"/>
      <c r="L23" s="105"/>
      <c r="M23" s="105"/>
      <c r="N23" s="102"/>
      <c r="O23" s="102"/>
      <c r="P23" s="105"/>
      <c r="Q23" s="105"/>
      <c r="R23" s="102"/>
      <c r="S23" s="102"/>
      <c r="T23" s="105"/>
      <c r="U23" s="105"/>
      <c r="V23" s="102"/>
      <c r="W23" s="102"/>
      <c r="X23" s="105"/>
      <c r="Y23" s="105"/>
      <c r="Z23" s="102"/>
      <c r="AA23" s="102"/>
      <c r="AB23" s="105"/>
      <c r="AC23" s="105"/>
      <c r="AD23" s="110"/>
      <c r="AE23" s="108"/>
      <c r="AF23" s="105"/>
      <c r="AG23" s="105"/>
      <c r="AH23" s="102"/>
      <c r="AI23" s="102"/>
      <c r="AJ23" s="105"/>
      <c r="AK23" s="105"/>
      <c r="AL23" s="102"/>
      <c r="AM23" s="102"/>
      <c r="AN23" s="105"/>
      <c r="AO23" s="105"/>
      <c r="AP23" s="102"/>
      <c r="AQ23" s="102"/>
    </row>
    <row r="24" spans="1:43" ht="18.600000000000001">
      <c r="A24" s="102">
        <v>21</v>
      </c>
      <c r="B24" s="105"/>
      <c r="C24" s="102"/>
      <c r="D24" s="102"/>
      <c r="E24" s="102"/>
      <c r="F24" s="103"/>
      <c r="G24" s="105"/>
      <c r="H24" s="102"/>
      <c r="I24" s="102"/>
      <c r="J24" s="102"/>
      <c r="K24" s="102"/>
      <c r="L24" s="105"/>
      <c r="M24" s="105"/>
      <c r="N24" s="102"/>
      <c r="O24" s="102"/>
      <c r="P24" s="105"/>
      <c r="Q24" s="105"/>
      <c r="R24" s="102"/>
      <c r="S24" s="102"/>
      <c r="T24" s="105"/>
      <c r="U24" s="105"/>
      <c r="V24" s="102"/>
      <c r="W24" s="102"/>
      <c r="X24" s="105"/>
      <c r="Y24" s="105"/>
      <c r="Z24" s="102"/>
      <c r="AA24" s="102"/>
      <c r="AB24" s="105"/>
      <c r="AC24" s="105"/>
      <c r="AD24" s="110"/>
      <c r="AE24" s="108"/>
      <c r="AF24" s="105"/>
      <c r="AG24" s="105"/>
      <c r="AH24" s="102"/>
      <c r="AI24" s="102"/>
      <c r="AJ24" s="105"/>
      <c r="AK24" s="105"/>
      <c r="AL24" s="102"/>
      <c r="AM24" s="102"/>
      <c r="AN24" s="105"/>
      <c r="AO24" s="105"/>
      <c r="AP24" s="102"/>
      <c r="AQ24" s="102"/>
    </row>
    <row r="25" spans="1:43" ht="18.600000000000001">
      <c r="A25" s="102">
        <v>22</v>
      </c>
      <c r="B25" s="105"/>
      <c r="C25" s="102"/>
      <c r="D25" s="102"/>
      <c r="E25" s="102"/>
      <c r="F25" s="103"/>
      <c r="G25" s="105"/>
      <c r="H25" s="102"/>
      <c r="I25" s="102"/>
      <c r="J25" s="102"/>
      <c r="K25" s="102"/>
      <c r="L25" s="105"/>
      <c r="M25" s="105"/>
      <c r="N25" s="102"/>
      <c r="O25" s="102"/>
      <c r="P25" s="105"/>
      <c r="Q25" s="105"/>
      <c r="R25" s="102"/>
      <c r="S25" s="102"/>
      <c r="T25" s="105"/>
      <c r="U25" s="105"/>
      <c r="V25" s="102"/>
      <c r="W25" s="102"/>
      <c r="X25" s="105"/>
      <c r="Y25" s="105"/>
      <c r="Z25" s="102"/>
      <c r="AA25" s="102"/>
      <c r="AB25" s="105"/>
      <c r="AC25" s="105"/>
      <c r="AD25" s="110"/>
      <c r="AE25" s="108"/>
      <c r="AF25" s="105"/>
      <c r="AG25" s="105"/>
      <c r="AH25" s="102"/>
      <c r="AI25" s="102"/>
      <c r="AJ25" s="105"/>
      <c r="AK25" s="105"/>
      <c r="AL25" s="102"/>
      <c r="AM25" s="102"/>
      <c r="AN25" s="105"/>
      <c r="AO25" s="105"/>
      <c r="AP25" s="102"/>
      <c r="AQ25" s="102"/>
    </row>
    <row r="26" spans="1:43" ht="18.600000000000001">
      <c r="A26" s="102">
        <v>23</v>
      </c>
      <c r="B26" s="105"/>
      <c r="C26" s="102"/>
      <c r="D26" s="102"/>
      <c r="E26" s="102"/>
      <c r="F26" s="103"/>
      <c r="G26" s="105"/>
      <c r="H26" s="102"/>
      <c r="I26" s="102"/>
      <c r="J26" s="102"/>
      <c r="K26" s="102"/>
      <c r="L26" s="105"/>
      <c r="M26" s="105"/>
      <c r="N26" s="102"/>
      <c r="O26" s="102"/>
      <c r="P26" s="105"/>
      <c r="Q26" s="105"/>
      <c r="R26" s="102"/>
      <c r="S26" s="102"/>
      <c r="T26" s="105"/>
      <c r="U26" s="105"/>
      <c r="V26" s="102"/>
      <c r="W26" s="102"/>
      <c r="X26" s="105"/>
      <c r="Y26" s="105"/>
      <c r="Z26" s="102"/>
      <c r="AA26" s="102"/>
      <c r="AB26" s="105"/>
      <c r="AC26" s="105"/>
      <c r="AD26" s="110"/>
      <c r="AE26" s="108"/>
      <c r="AF26" s="105"/>
      <c r="AG26" s="105"/>
      <c r="AH26" s="102"/>
      <c r="AI26" s="102"/>
      <c r="AJ26" s="105"/>
      <c r="AK26" s="105"/>
      <c r="AL26" s="102"/>
      <c r="AM26" s="102"/>
      <c r="AN26" s="105"/>
      <c r="AO26" s="105"/>
      <c r="AP26" s="102"/>
      <c r="AQ26" s="102"/>
    </row>
    <row r="27" spans="1:43" ht="18.600000000000001">
      <c r="A27" s="102">
        <v>24</v>
      </c>
      <c r="B27" s="105"/>
      <c r="C27" s="102"/>
      <c r="D27" s="102"/>
      <c r="E27" s="102"/>
      <c r="F27" s="103"/>
      <c r="G27" s="105"/>
      <c r="H27" s="102"/>
      <c r="I27" s="102"/>
      <c r="J27" s="102"/>
      <c r="K27" s="102"/>
      <c r="L27" s="105"/>
      <c r="M27" s="105"/>
      <c r="N27" s="102"/>
      <c r="O27" s="102"/>
      <c r="P27" s="105"/>
      <c r="Q27" s="105"/>
      <c r="R27" s="102"/>
      <c r="S27" s="102"/>
      <c r="T27" s="105"/>
      <c r="U27" s="105"/>
      <c r="V27" s="102"/>
      <c r="W27" s="102"/>
      <c r="X27" s="105"/>
      <c r="Y27" s="105"/>
      <c r="Z27" s="102"/>
      <c r="AA27" s="102"/>
      <c r="AB27" s="105"/>
      <c r="AC27" s="105"/>
      <c r="AD27" s="110"/>
      <c r="AE27" s="108"/>
      <c r="AF27" s="105"/>
      <c r="AG27" s="105"/>
      <c r="AH27" s="102"/>
      <c r="AI27" s="102"/>
      <c r="AJ27" s="105"/>
      <c r="AK27" s="105"/>
      <c r="AL27" s="102"/>
      <c r="AM27" s="102"/>
      <c r="AN27" s="105"/>
      <c r="AO27" s="105"/>
      <c r="AP27" s="102"/>
      <c r="AQ27" s="102"/>
    </row>
    <row r="28" spans="1:43" ht="18.600000000000001">
      <c r="A28" s="102">
        <v>25</v>
      </c>
      <c r="B28" s="105"/>
      <c r="C28" s="102"/>
      <c r="D28" s="102"/>
      <c r="E28" s="102"/>
      <c r="F28" s="103"/>
      <c r="G28" s="105"/>
      <c r="H28" s="113"/>
      <c r="I28" s="102"/>
      <c r="J28" s="113"/>
      <c r="K28" s="102"/>
      <c r="L28" s="105"/>
      <c r="M28" s="105"/>
      <c r="N28" s="102"/>
      <c r="O28" s="102"/>
      <c r="P28" s="106"/>
      <c r="Q28" s="105"/>
      <c r="R28" s="102"/>
      <c r="S28" s="102"/>
      <c r="T28" s="105"/>
      <c r="U28" s="105"/>
      <c r="V28" s="102"/>
      <c r="W28" s="102"/>
      <c r="X28" s="105"/>
      <c r="Y28" s="105"/>
      <c r="Z28" s="102"/>
      <c r="AA28" s="102"/>
      <c r="AB28" s="105"/>
      <c r="AC28" s="105"/>
      <c r="AD28" s="107"/>
      <c r="AE28" s="102"/>
      <c r="AF28" s="105"/>
      <c r="AG28" s="105"/>
      <c r="AH28" s="102"/>
      <c r="AI28" s="102"/>
      <c r="AJ28" s="106"/>
      <c r="AK28" s="105"/>
      <c r="AL28" s="102"/>
      <c r="AM28" s="102"/>
      <c r="AN28" s="105"/>
      <c r="AO28" s="105"/>
      <c r="AP28" s="102"/>
      <c r="AQ28" s="102"/>
    </row>
    <row r="29" spans="1:43" ht="18.600000000000001">
      <c r="A29" s="102">
        <v>26</v>
      </c>
      <c r="B29" s="105"/>
      <c r="C29" s="102"/>
      <c r="D29" s="102"/>
      <c r="E29" s="102"/>
      <c r="F29" s="103"/>
      <c r="G29" s="105"/>
      <c r="H29" s="113"/>
      <c r="I29" s="102"/>
      <c r="J29" s="102"/>
      <c r="K29" s="102"/>
      <c r="L29" s="105"/>
      <c r="M29" s="105"/>
      <c r="N29" s="102"/>
      <c r="O29" s="102"/>
      <c r="P29" s="106"/>
      <c r="Q29" s="105"/>
      <c r="R29" s="102"/>
      <c r="S29" s="102"/>
      <c r="T29" s="105"/>
      <c r="U29" s="105"/>
      <c r="V29" s="102"/>
      <c r="W29" s="102"/>
      <c r="X29" s="105"/>
      <c r="Y29" s="105"/>
      <c r="Z29" s="102"/>
      <c r="AA29" s="102"/>
      <c r="AB29" s="105"/>
      <c r="AC29" s="105"/>
      <c r="AD29" s="107"/>
      <c r="AE29" s="102"/>
      <c r="AF29" s="105"/>
      <c r="AG29" s="105"/>
      <c r="AH29" s="102"/>
      <c r="AI29" s="102"/>
      <c r="AJ29" s="105"/>
      <c r="AK29" s="105"/>
      <c r="AL29" s="102"/>
      <c r="AM29" s="102"/>
      <c r="AN29" s="105"/>
      <c r="AO29" s="105"/>
      <c r="AP29" s="102"/>
      <c r="AQ29" s="102"/>
    </row>
    <row r="30" spans="1:43" ht="18.600000000000001">
      <c r="A30" s="102">
        <v>27</v>
      </c>
      <c r="B30" s="105"/>
      <c r="C30" s="102"/>
      <c r="D30" s="102"/>
      <c r="E30" s="102"/>
      <c r="F30" s="103"/>
      <c r="G30" s="105"/>
      <c r="H30" s="102"/>
      <c r="I30" s="102"/>
      <c r="J30" s="102"/>
      <c r="K30" s="102"/>
      <c r="L30" s="105"/>
      <c r="M30" s="105"/>
      <c r="N30" s="102"/>
      <c r="O30" s="102"/>
      <c r="P30" s="106"/>
      <c r="Q30" s="105"/>
      <c r="R30" s="102"/>
      <c r="S30" s="102"/>
      <c r="T30" s="105"/>
      <c r="U30" s="105"/>
      <c r="V30" s="102"/>
      <c r="W30" s="102"/>
      <c r="X30" s="105"/>
      <c r="Y30" s="105"/>
      <c r="Z30" s="102"/>
      <c r="AA30" s="102"/>
      <c r="AB30" s="105"/>
      <c r="AC30" s="105"/>
      <c r="AD30" s="107"/>
      <c r="AE30" s="102"/>
      <c r="AF30" s="105"/>
      <c r="AG30" s="105"/>
      <c r="AH30" s="102"/>
      <c r="AI30" s="102"/>
      <c r="AJ30" s="105"/>
      <c r="AK30" s="105"/>
      <c r="AL30" s="102"/>
      <c r="AM30" s="102"/>
      <c r="AN30" s="105"/>
      <c r="AO30" s="105"/>
      <c r="AP30" s="102"/>
      <c r="AQ30" s="102"/>
    </row>
    <row r="31" spans="1:43" ht="18.600000000000001">
      <c r="A31" s="102"/>
      <c r="B31" s="105"/>
      <c r="C31" s="102"/>
      <c r="D31" s="102"/>
      <c r="E31" s="102"/>
      <c r="F31" s="103"/>
      <c r="G31" s="105"/>
      <c r="H31" s="102"/>
      <c r="I31" s="102"/>
      <c r="J31" s="102"/>
      <c r="K31" s="102"/>
      <c r="L31" s="105"/>
      <c r="M31" s="105"/>
      <c r="N31" s="102"/>
      <c r="O31" s="102"/>
      <c r="P31" s="105"/>
      <c r="Q31" s="105"/>
      <c r="R31" s="102"/>
      <c r="S31" s="102"/>
      <c r="T31" s="105"/>
      <c r="U31" s="105"/>
      <c r="V31" s="102"/>
      <c r="W31" s="102"/>
      <c r="X31" s="105"/>
      <c r="Y31" s="105"/>
      <c r="Z31" s="102"/>
      <c r="AA31" s="102"/>
      <c r="AB31" s="105"/>
      <c r="AC31" s="105"/>
      <c r="AD31" s="107"/>
      <c r="AE31" s="102"/>
      <c r="AF31" s="105"/>
      <c r="AG31" s="105"/>
      <c r="AH31" s="102"/>
      <c r="AI31" s="102"/>
      <c r="AJ31" s="105"/>
      <c r="AK31" s="105"/>
      <c r="AL31" s="102"/>
      <c r="AM31" s="102"/>
      <c r="AN31" s="105"/>
      <c r="AO31" s="105"/>
      <c r="AP31" s="102"/>
      <c r="AQ31" s="102"/>
    </row>
    <row r="32" spans="1:43" ht="18.600000000000001">
      <c r="A32" s="102"/>
      <c r="B32" s="105"/>
      <c r="C32" s="102"/>
      <c r="D32" s="102"/>
      <c r="E32" s="102"/>
      <c r="F32" s="103"/>
      <c r="G32" s="105"/>
      <c r="H32" s="102"/>
      <c r="I32" s="102"/>
      <c r="J32" s="102"/>
      <c r="K32" s="102"/>
      <c r="L32" s="105"/>
      <c r="M32" s="105"/>
      <c r="N32" s="102"/>
      <c r="O32" s="102"/>
      <c r="P32" s="105"/>
      <c r="Q32" s="105"/>
      <c r="R32" s="102"/>
      <c r="S32" s="102"/>
      <c r="T32" s="105"/>
      <c r="U32" s="105"/>
      <c r="V32" s="102"/>
      <c r="W32" s="102"/>
      <c r="X32" s="105"/>
      <c r="Y32" s="105"/>
      <c r="Z32" s="102"/>
      <c r="AA32" s="102"/>
      <c r="AB32" s="105"/>
      <c r="AC32" s="105"/>
      <c r="AD32" s="107"/>
      <c r="AE32" s="102"/>
      <c r="AF32" s="105"/>
      <c r="AG32" s="105"/>
      <c r="AH32" s="102"/>
      <c r="AI32" s="102"/>
      <c r="AJ32" s="105"/>
      <c r="AK32" s="105"/>
      <c r="AL32" s="102"/>
      <c r="AM32" s="102"/>
      <c r="AN32" s="105"/>
      <c r="AO32" s="105"/>
      <c r="AP32" s="102"/>
      <c r="AQ32" s="102"/>
    </row>
    <row r="33" spans="1:43" ht="18.600000000000001">
      <c r="A33" s="102"/>
      <c r="B33" s="105"/>
      <c r="C33" s="102"/>
      <c r="D33" s="102"/>
      <c r="E33" s="102"/>
      <c r="F33" s="103"/>
      <c r="G33" s="105"/>
      <c r="H33" s="102"/>
      <c r="I33" s="102"/>
      <c r="J33" s="102"/>
      <c r="K33" s="102"/>
      <c r="L33" s="105"/>
      <c r="M33" s="105"/>
      <c r="N33" s="102"/>
      <c r="O33" s="102"/>
      <c r="P33" s="105"/>
      <c r="Q33" s="105"/>
      <c r="R33" s="102"/>
      <c r="S33" s="102"/>
      <c r="T33" s="105"/>
      <c r="U33" s="105"/>
      <c r="V33" s="102"/>
      <c r="W33" s="102"/>
      <c r="X33" s="105"/>
      <c r="Y33" s="105"/>
      <c r="Z33" s="102"/>
      <c r="AA33" s="102"/>
      <c r="AB33" s="105"/>
      <c r="AC33" s="105"/>
      <c r="AD33" s="107"/>
      <c r="AE33" s="102"/>
      <c r="AF33" s="105"/>
      <c r="AG33" s="105"/>
      <c r="AH33" s="102"/>
      <c r="AI33" s="102"/>
      <c r="AJ33" s="105"/>
      <c r="AK33" s="105"/>
      <c r="AL33" s="102"/>
      <c r="AM33" s="102"/>
      <c r="AN33" s="105"/>
      <c r="AO33" s="105"/>
      <c r="AP33" s="102"/>
      <c r="AQ33" s="102"/>
    </row>
    <row r="34" spans="1:43" ht="18.600000000000001">
      <c r="A34" s="102"/>
      <c r="B34" s="105"/>
      <c r="C34" s="102"/>
      <c r="D34" s="102"/>
      <c r="E34" s="102"/>
      <c r="F34" s="103"/>
      <c r="G34" s="105"/>
      <c r="H34" s="102"/>
      <c r="I34" s="102"/>
      <c r="J34" s="102"/>
      <c r="K34" s="102"/>
      <c r="L34" s="105"/>
      <c r="M34" s="105"/>
      <c r="N34" s="102"/>
      <c r="O34" s="102"/>
      <c r="P34" s="105"/>
      <c r="Q34" s="105"/>
      <c r="R34" s="102"/>
      <c r="S34" s="102"/>
      <c r="T34" s="105"/>
      <c r="U34" s="105"/>
      <c r="V34" s="102"/>
      <c r="W34" s="102"/>
      <c r="X34" s="105"/>
      <c r="Y34" s="105"/>
      <c r="Z34" s="102"/>
      <c r="AA34" s="102"/>
      <c r="AB34" s="105"/>
      <c r="AC34" s="105"/>
      <c r="AD34" s="107"/>
      <c r="AE34" s="102"/>
      <c r="AF34" s="105"/>
      <c r="AG34" s="105"/>
      <c r="AH34" s="102"/>
      <c r="AI34" s="102"/>
      <c r="AJ34" s="105"/>
      <c r="AK34" s="105"/>
      <c r="AL34" s="102"/>
      <c r="AM34" s="102"/>
      <c r="AN34" s="105"/>
      <c r="AO34" s="105"/>
      <c r="AP34" s="102"/>
      <c r="AQ34" s="102"/>
    </row>
    <row r="35" spans="1:43" ht="18.600000000000001">
      <c r="A35" s="102"/>
      <c r="B35" s="105"/>
      <c r="C35" s="102"/>
      <c r="D35" s="102"/>
      <c r="E35" s="102"/>
      <c r="F35" s="103"/>
      <c r="G35" s="105"/>
      <c r="H35" s="102"/>
      <c r="I35" s="102"/>
      <c r="J35" s="102"/>
      <c r="K35" s="102"/>
      <c r="L35" s="105"/>
      <c r="M35" s="105"/>
      <c r="N35" s="102"/>
      <c r="O35" s="102"/>
      <c r="P35" s="105"/>
      <c r="Q35" s="105"/>
      <c r="R35" s="102"/>
      <c r="S35" s="102"/>
      <c r="T35" s="105"/>
      <c r="U35" s="105"/>
      <c r="V35" s="102"/>
      <c r="W35" s="102"/>
      <c r="X35" s="105"/>
      <c r="Y35" s="105"/>
      <c r="Z35" s="102"/>
      <c r="AA35" s="102"/>
      <c r="AB35" s="105"/>
      <c r="AC35" s="105"/>
      <c r="AD35" s="107"/>
      <c r="AE35" s="102"/>
      <c r="AF35" s="105"/>
      <c r="AG35" s="105"/>
      <c r="AH35" s="102"/>
      <c r="AI35" s="102"/>
      <c r="AJ35" s="105"/>
      <c r="AK35" s="105"/>
      <c r="AL35" s="102"/>
      <c r="AM35" s="102"/>
      <c r="AN35" s="105"/>
      <c r="AO35" s="105"/>
      <c r="AP35" s="102"/>
      <c r="AQ35" s="102"/>
    </row>
    <row r="36" spans="1:43" ht="18.600000000000001">
      <c r="A36" s="102"/>
      <c r="B36" s="105"/>
      <c r="C36" s="102"/>
      <c r="D36" s="102"/>
      <c r="E36" s="102"/>
      <c r="F36" s="103"/>
      <c r="G36" s="105"/>
      <c r="H36" s="102"/>
      <c r="I36" s="102"/>
      <c r="J36" s="102"/>
      <c r="K36" s="102"/>
      <c r="L36" s="105"/>
      <c r="M36" s="105"/>
      <c r="N36" s="102"/>
      <c r="O36" s="102"/>
      <c r="P36" s="105"/>
      <c r="Q36" s="105"/>
      <c r="R36" s="102"/>
      <c r="S36" s="102"/>
      <c r="T36" s="105"/>
      <c r="U36" s="105"/>
      <c r="V36" s="102"/>
      <c r="W36" s="102"/>
      <c r="X36" s="105"/>
      <c r="Y36" s="105"/>
      <c r="Z36" s="102"/>
      <c r="AA36" s="102"/>
      <c r="AB36" s="105"/>
      <c r="AC36" s="105"/>
      <c r="AD36" s="107"/>
      <c r="AE36" s="102"/>
      <c r="AF36" s="105"/>
      <c r="AG36" s="105"/>
      <c r="AH36" s="102"/>
      <c r="AI36" s="102"/>
      <c r="AJ36" s="105"/>
      <c r="AK36" s="105"/>
      <c r="AL36" s="102"/>
      <c r="AM36" s="102"/>
      <c r="AN36" s="105"/>
      <c r="AO36" s="105"/>
      <c r="AP36" s="102"/>
      <c r="AQ36" s="102"/>
    </row>
    <row r="37" spans="1:43" ht="18.600000000000001">
      <c r="A37" s="102"/>
      <c r="B37" s="105"/>
      <c r="C37" s="102"/>
      <c r="D37" s="102"/>
      <c r="E37" s="102"/>
      <c r="F37" s="103"/>
      <c r="G37" s="105"/>
      <c r="H37" s="102"/>
      <c r="I37" s="102"/>
      <c r="J37" s="102"/>
      <c r="K37" s="102"/>
      <c r="L37" s="105"/>
      <c r="M37" s="105"/>
      <c r="N37" s="102"/>
      <c r="O37" s="102"/>
      <c r="P37" s="105"/>
      <c r="Q37" s="105"/>
      <c r="R37" s="102"/>
      <c r="S37" s="102"/>
      <c r="T37" s="105"/>
      <c r="U37" s="105"/>
      <c r="V37" s="102"/>
      <c r="W37" s="102"/>
      <c r="X37" s="105"/>
      <c r="Y37" s="105"/>
      <c r="Z37" s="102"/>
      <c r="AA37" s="102"/>
      <c r="AB37" s="105"/>
      <c r="AC37" s="105"/>
      <c r="AD37" s="107"/>
      <c r="AE37" s="102"/>
      <c r="AF37" s="105"/>
      <c r="AG37" s="105"/>
      <c r="AH37" s="102"/>
      <c r="AI37" s="102"/>
      <c r="AJ37" s="105"/>
      <c r="AK37" s="105"/>
      <c r="AL37" s="102"/>
      <c r="AM37" s="102"/>
      <c r="AN37" s="105"/>
      <c r="AO37" s="105"/>
      <c r="AP37" s="102"/>
      <c r="AQ37" s="102"/>
    </row>
    <row r="38" spans="1:43" s="14" customFormat="1" ht="19.2" thickBot="1">
      <c r="A38" s="102"/>
      <c r="B38" s="105"/>
      <c r="C38" s="102"/>
      <c r="D38" s="102"/>
      <c r="E38" s="102"/>
      <c r="F38" s="103"/>
      <c r="G38" s="105"/>
      <c r="H38" s="102"/>
      <c r="I38" s="102"/>
      <c r="J38" s="102"/>
      <c r="K38" s="102"/>
      <c r="L38" s="105"/>
      <c r="M38" s="105"/>
      <c r="N38" s="102"/>
      <c r="O38" s="102"/>
      <c r="P38" s="105"/>
      <c r="Q38" s="105"/>
      <c r="R38" s="102"/>
      <c r="S38" s="102"/>
      <c r="T38" s="105"/>
      <c r="U38" s="105"/>
      <c r="V38" s="102"/>
      <c r="W38" s="102"/>
      <c r="X38" s="105"/>
      <c r="Y38" s="105"/>
      <c r="Z38" s="102"/>
      <c r="AA38" s="102"/>
      <c r="AB38" s="105"/>
      <c r="AC38" s="105"/>
      <c r="AD38" s="107"/>
      <c r="AE38" s="102"/>
      <c r="AF38" s="105"/>
      <c r="AG38" s="105"/>
      <c r="AH38" s="102"/>
      <c r="AI38" s="102"/>
      <c r="AJ38" s="105"/>
      <c r="AK38" s="105"/>
      <c r="AL38" s="102"/>
      <c r="AM38" s="102"/>
      <c r="AN38" s="105"/>
      <c r="AO38" s="105"/>
      <c r="AP38" s="102"/>
      <c r="AQ38" s="102"/>
    </row>
    <row r="39" spans="1:43" ht="18.600000000000001">
      <c r="A39" s="102"/>
      <c r="B39" s="105"/>
      <c r="C39" s="102"/>
      <c r="D39" s="102"/>
      <c r="E39" s="102"/>
      <c r="F39" s="103"/>
      <c r="G39" s="105"/>
      <c r="H39" s="102"/>
      <c r="I39" s="102"/>
      <c r="J39" s="102"/>
      <c r="K39" s="102"/>
      <c r="L39" s="105"/>
      <c r="M39" s="105"/>
      <c r="N39" s="102"/>
      <c r="O39" s="102"/>
      <c r="P39" s="105"/>
      <c r="Q39" s="105"/>
      <c r="R39" s="102"/>
      <c r="S39" s="102"/>
      <c r="T39" s="105"/>
      <c r="U39" s="105"/>
      <c r="V39" s="102"/>
      <c r="W39" s="102"/>
      <c r="X39" s="105"/>
      <c r="Y39" s="105"/>
      <c r="Z39" s="102"/>
      <c r="AA39" s="102"/>
      <c r="AB39" s="105"/>
      <c r="AC39" s="105"/>
      <c r="AD39" s="102"/>
      <c r="AE39" s="102"/>
      <c r="AF39" s="105"/>
      <c r="AG39" s="105"/>
      <c r="AH39" s="102"/>
      <c r="AI39" s="102"/>
      <c r="AJ39" s="105"/>
      <c r="AK39" s="105"/>
      <c r="AL39" s="102"/>
      <c r="AM39" s="102"/>
      <c r="AN39" s="105"/>
      <c r="AO39" s="105"/>
      <c r="AP39" s="102"/>
      <c r="AQ39" s="102"/>
    </row>
    <row r="40" spans="1:43" ht="18.600000000000001">
      <c r="A40" s="102"/>
      <c r="B40" s="105"/>
      <c r="C40" s="102"/>
      <c r="D40" s="102"/>
      <c r="E40" s="102"/>
      <c r="F40" s="103"/>
      <c r="G40" s="105"/>
      <c r="H40" s="102"/>
      <c r="I40" s="102"/>
      <c r="J40" s="102"/>
      <c r="K40" s="102"/>
      <c r="L40" s="105"/>
      <c r="M40" s="105"/>
      <c r="N40" s="102"/>
      <c r="O40" s="102"/>
      <c r="P40" s="105"/>
      <c r="Q40" s="105"/>
      <c r="R40" s="102"/>
      <c r="S40" s="102"/>
      <c r="T40" s="105"/>
      <c r="U40" s="105"/>
      <c r="V40" s="102"/>
      <c r="W40" s="102"/>
      <c r="X40" s="105"/>
      <c r="Y40" s="105"/>
      <c r="Z40" s="102"/>
      <c r="AA40" s="102"/>
      <c r="AB40" s="105"/>
      <c r="AC40" s="105"/>
      <c r="AD40" s="102"/>
      <c r="AE40" s="102"/>
      <c r="AF40" s="105"/>
      <c r="AG40" s="105"/>
      <c r="AH40" s="102"/>
      <c r="AI40" s="102"/>
      <c r="AJ40" s="105"/>
      <c r="AK40" s="105"/>
      <c r="AL40" s="102"/>
      <c r="AM40" s="102"/>
      <c r="AN40" s="105"/>
      <c r="AO40" s="105"/>
      <c r="AP40" s="102"/>
      <c r="AQ40" s="102"/>
    </row>
    <row r="41" spans="1:43">
      <c r="AD41" s="13"/>
    </row>
  </sheetData>
  <mergeCells count="47">
    <mergeCell ref="A2:A3"/>
    <mergeCell ref="B4:B8"/>
    <mergeCell ref="Z2:AA2"/>
    <mergeCell ref="P2:Q2"/>
    <mergeCell ref="X2:Y2"/>
    <mergeCell ref="P3:Q3"/>
    <mergeCell ref="F2:G2"/>
    <mergeCell ref="H2:I2"/>
    <mergeCell ref="L2:M2"/>
    <mergeCell ref="N2:O2"/>
    <mergeCell ref="F3:G3"/>
    <mergeCell ref="H3:I3"/>
    <mergeCell ref="L3:M3"/>
    <mergeCell ref="J2:K2"/>
    <mergeCell ref="J3:K3"/>
    <mergeCell ref="N3:O3"/>
    <mergeCell ref="B15:B17"/>
    <mergeCell ref="AJ3:AK3"/>
    <mergeCell ref="AL3:AM3"/>
    <mergeCell ref="V2:W2"/>
    <mergeCell ref="V3:W3"/>
    <mergeCell ref="T2:U2"/>
    <mergeCell ref="T3:U3"/>
    <mergeCell ref="R2:S2"/>
    <mergeCell ref="R3:S3"/>
    <mergeCell ref="X3:Y3"/>
    <mergeCell ref="Z3:AA3"/>
    <mergeCell ref="AB3:AC3"/>
    <mergeCell ref="AD3:AE3"/>
    <mergeCell ref="AH3:AI3"/>
    <mergeCell ref="AB2:AC2"/>
    <mergeCell ref="B9:B14"/>
    <mergeCell ref="B2:B3"/>
    <mergeCell ref="C2:C3"/>
    <mergeCell ref="AD2:AE2"/>
    <mergeCell ref="AN2:AO2"/>
    <mergeCell ref="AN3:AO3"/>
    <mergeCell ref="AF2:AG2"/>
    <mergeCell ref="AH2:AI2"/>
    <mergeCell ref="AF3:AG3"/>
    <mergeCell ref="AJ2:AK2"/>
    <mergeCell ref="AL2:AM2"/>
    <mergeCell ref="F1:AQ1"/>
    <mergeCell ref="D2:E2"/>
    <mergeCell ref="D3:E3"/>
    <mergeCell ref="AP2:AQ2"/>
    <mergeCell ref="AP3:AQ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ابنیه-1</vt:lpstr>
      <vt:lpstr>ابنیه-2</vt:lpstr>
      <vt:lpstr>ابنیه-3</vt:lpstr>
      <vt:lpstr>ابنیه-4</vt:lpstr>
      <vt:lpstr>ابنیه-5</vt:lpstr>
      <vt:lpstr>ابنیه-6</vt:lpstr>
      <vt:lpstr>خلاصه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novin</dc:creator>
  <cp:lastModifiedBy>Emdad Rayaneh</cp:lastModifiedBy>
  <cp:lastPrinted>2018-03-05T10:34:40Z</cp:lastPrinted>
  <dcterms:created xsi:type="dcterms:W3CDTF">2016-03-29T00:01:48Z</dcterms:created>
  <dcterms:modified xsi:type="dcterms:W3CDTF">2020-11-09T09:33:01Z</dcterms:modified>
</cp:coreProperties>
</file>